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omments1.xml" ContentType="application/vnd.openxmlformats-officedocument.spreadsheetml.comments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/>
  <mc:AlternateContent xmlns:mc="http://schemas.openxmlformats.org/markup-compatibility/2006">
    <mc:Choice Requires="x15">
      <x15ac:absPath xmlns:x15ac="http://schemas.microsoft.com/office/spreadsheetml/2010/11/ac" url="C:\Users\Тычинский\Desktop\"/>
    </mc:Choice>
  </mc:AlternateContent>
  <workbookProtection workbookPassword="CC27" lockStructure="1"/>
  <bookViews>
    <workbookView xWindow="0" yWindow="0" windowWidth="16365" windowHeight="12285" tabRatio="832"/>
  </bookViews>
  <sheets>
    <sheet name="Бланк" sheetId="3" r:id="rId1"/>
    <sheet name="Вставка схем" sheetId="10" r:id="rId2"/>
    <sheet name="Исходные" sheetId="8" state="hidden" r:id="rId3"/>
    <sheet name="Пояснения" sheetId="14" r:id="rId4"/>
    <sheet name="Цена" sheetId="7" state="hidden" r:id="rId5"/>
    <sheet name="База" sheetId="2" state="hidden" r:id="rId6"/>
    <sheet name="дверь" sheetId="4" state="hidden" r:id="rId7"/>
    <sheet name="материалы" sheetId="5" state="hidden" r:id="rId8"/>
    <sheet name="Фурнитура" sheetId="12" state="hidden" r:id="rId9"/>
    <sheet name="Плёнка ПДТ" sheetId="11" state="hidden" r:id="rId10"/>
    <sheet name="Плёнка Артв" sheetId="16" state="hidden" r:id="rId11"/>
    <sheet name="Плёнка Ева" sheetId="17" state="hidden" r:id="rId12"/>
    <sheet name="Отделка, таб." sheetId="15" state="hidden" r:id="rId13"/>
    <sheet name="фрезеровки" sheetId="6" state="hidden" r:id="rId14"/>
  </sheets>
  <externalReferences>
    <externalReference r:id="rId15"/>
  </externalReferences>
  <definedNames>
    <definedName name="__">материалы!$H$70</definedName>
    <definedName name="__16_влаго">фрезеровки!$X$11:$AL$11</definedName>
    <definedName name="__16мм">фрезеровки!#REF!</definedName>
    <definedName name="_1_2_мя_доборами">дверь!$AD$40:$AL$47</definedName>
    <definedName name="_1_3_мя_доборами">дверь!$R$52:$AI$60</definedName>
    <definedName name="_1_Бока_выпуклы">дверь!$T$73:$Y$80</definedName>
    <definedName name="_1_верхним_добором">дверь!$R$15:$V$23</definedName>
    <definedName name="_1_верхним_и_лев_добором">дверь!$H$15:$N$23</definedName>
    <definedName name="_1_верхним_и_прав_добором">дверь!$AC$15:$AI$23</definedName>
    <definedName name="_1_левым_добором">дверь!$R$28:$W$35</definedName>
    <definedName name="_1_правым_добором">дверь!$R$40:$W$47</definedName>
    <definedName name="_1_створчатая">дверь!$R$3:$W$11</definedName>
    <definedName name="_1_Центр_выпукл">дверь!$T$63:$Y$70</definedName>
    <definedName name="_10_влаго">фрезеровки!$X$5:$AH$5</definedName>
    <definedName name="_10мм">фрезеровки!$X$4:$AH$4</definedName>
    <definedName name="_12_влаго">фрезеровки!$X$7:$AL$7</definedName>
    <definedName name="_12мм">фрезеровки!$X$6:$AL$6</definedName>
    <definedName name="_15мм.">фрезеровки!$X$10:$AL$10</definedName>
    <definedName name="_16_влаго">фрезеровки!$X$9:$AL$9</definedName>
    <definedName name="_16мм">фрезеровки!$X$8:$AL$8</definedName>
    <definedName name="_2_2_мя_доборами">дверь!$BV$40:$CG$47</definedName>
    <definedName name="_2_3_мя_доборами">дверь!$BE$52:$BP$60</definedName>
    <definedName name="_2_верхним_добором">дверь!$BG$15:$BN$23</definedName>
    <definedName name="_2_верхним_и_лев_добором">дверь!$AT$15:$BC$23</definedName>
    <definedName name="_2_верхним_и_прав_добором">дверь!$BS$15:$CB$23</definedName>
    <definedName name="_2_левым_добором">дверь!$BE$28:$BN$35</definedName>
    <definedName name="_2_правым_добором">дверь!$BE$40:$BN$47</definedName>
    <definedName name="_2_створчатая">дверь!$BG$3:$BN$10</definedName>
    <definedName name="_2_х_конт.">материалы!$H$65</definedName>
    <definedName name="_3_Д">фрезеровки!$M$2:$M$9</definedName>
    <definedName name="_3_х_конт">материалы!$F$47:$F$48</definedName>
    <definedName name="_8_влаго">фрезеровки!$X$3:$AE$3</definedName>
    <definedName name="_8мм">фрезеровки!$X$2:$AE$2</definedName>
    <definedName name="_МДФ">'Отделка, таб.'!$L$62:$L$66</definedName>
    <definedName name="_металл">'Отделка, таб.'!$N$62</definedName>
    <definedName name="_плёнка">'Плёнка ПДТ'!$R$6</definedName>
    <definedName name="Apecs">Фурнитура!$B$126</definedName>
    <definedName name="AVERS_HP_72.1303">Фурнитура!$B$117</definedName>
    <definedName name="Crit">Фурнитура!$B$115:$D$115</definedName>
    <definedName name="Crit_развёр.">Фурнитура!$B$115:$D$115</definedName>
    <definedName name="FLOW_квадрат">Фурнитура!$B$121:$D$121</definedName>
    <definedName name="Isover">материалы!$B$81:$B$83</definedName>
    <definedName name="Kale">Фурнитура!$Q$101</definedName>
    <definedName name="Mottura">Фурнитура!$Q$103</definedName>
    <definedName name="Paroc">материалы!$B$83</definedName>
    <definedName name="Pava">Фурнитура!$B$116:$D$116</definedName>
    <definedName name="RedLine_квадрат">Фурнитура!$B$120:$E$120</definedName>
    <definedName name="RUR">Бланк!$AD$1</definedName>
    <definedName name="АВ">Артвинил[[#Headers],[Антискрэтч_026]:[Эмаль_018]]</definedName>
    <definedName name="Аверс">Фурнитура!$Q$98:$R$98</definedName>
    <definedName name="Антик">материалы!$D$15</definedName>
    <definedName name="Антискрэтч_026">'Плёнка Артв'!$A$12:$A$21</definedName>
    <definedName name="Апекс">Фурнитура!$Q$99:$R$99</definedName>
    <definedName name="Арт_мат">'Плёнка ПДТ'!$A$215</definedName>
    <definedName name="База">Таблица1[#All]</definedName>
    <definedName name="без_накладки">Фурнитура!$B$104:$G$104</definedName>
    <definedName name="Броня">Цена!$C$221:$C$231</definedName>
    <definedName name="В_нержаве">фрезеровки!$X$25:$X$29</definedName>
    <definedName name="В_полотне">фрезеровки!$W$25:$W$28</definedName>
    <definedName name="Верх_0">Фурнитура!$C$32:$C$35</definedName>
    <definedName name="Верх_1">Фурнитура!$D$32:$D$42</definedName>
    <definedName name="Верх_2">Таблица6[Верх_2]</definedName>
    <definedName name="Верх_3">Фурнитура!$F$32:$F$36</definedName>
    <definedName name="Верх_4">Фурнитура!$G$32:$G$40</definedName>
    <definedName name="Верх_5">Фурнитура!$H$32:$H$38</definedName>
    <definedName name="верх_замок">Таблица6[]</definedName>
    <definedName name="Винкожа_Индия">'Отделка, таб.'!$I$62:$I$66</definedName>
    <definedName name="Винкожа_РФ">'Отделка, таб.'!$H$62:$H$65</definedName>
    <definedName name="Вита">Фурнитура!$B$113:$C$113</definedName>
    <definedName name="Внутр_012">'Плёнка Артв'!$A$29:$A$54</definedName>
    <definedName name="Внутри">материалы!$B$3:$B$10</definedName>
    <definedName name="Гладкая_нестандарт">'Плёнка ПДТ'!$V$134:$V$146</definedName>
    <definedName name="Гладкая_стандарт">'Плёнка ПДТ'!$A$134:$A$146</definedName>
    <definedName name="Глазок">материалы!$B$50:$G$50</definedName>
    <definedName name="Глянец_032">'Плёнка Артв'!$A$23:$A$24</definedName>
    <definedName name="Глянцевая">'Плёнка ПДТ'!$A$129:$A$132</definedName>
    <definedName name="Двери">Двери_1[[#Data],[#Totals]]</definedName>
    <definedName name="ДСП">'Отделка, таб.'!$J$62:$J$65</definedName>
    <definedName name="Дюны">'Плёнка Ева'!$B$44:$B$48</definedName>
    <definedName name="ЕТ">Ева[[#Headers],[Уличные]:[Эмали_лак]]</definedName>
    <definedName name="Задвижка">Цена!$C$271:$C$276</definedName>
    <definedName name="зеркало_на_МДФ">фрезеровки!$O$2:$O$6</definedName>
    <definedName name="Зеркало_под_МДФ">фрезеровки!$N$2:$N$9</definedName>
    <definedName name="Индивид.">материалы!$H$70:$H$72</definedName>
    <definedName name="Индивид.вн.">материалы!$D$86:$D$87</definedName>
    <definedName name="Капитель_">материалы!$D$47:$D$48</definedName>
    <definedName name="Комби.">фрезеровки!$L$2:$L$86</definedName>
    <definedName name="Лазер">фрезеровки!$W$24:$X$24</definedName>
    <definedName name="М">материалы!$D$61:$D$62</definedName>
    <definedName name="М_0">материалы!$D$55:$D$57</definedName>
    <definedName name="М_0вн.">материалы!$D$69:$D$74</definedName>
    <definedName name="М_1">материалы!$E$55:$E$57</definedName>
    <definedName name="М_1вн.">материалы!$E$69:$E$76</definedName>
    <definedName name="М_2">материалы!$F$55:$F$57</definedName>
    <definedName name="М_2вн.">материалы!$F$69:$F$72</definedName>
    <definedName name="М_2ПКТвн.">материалы!$B$86:$B$87</definedName>
    <definedName name="М_3">материалы!$G$69:$G$70</definedName>
    <definedName name="М_3вн.">материалы!$A$86:$A$89</definedName>
    <definedName name="М_3ПКТвн.">материалы!$C$86:$C$87</definedName>
    <definedName name="МА_1">фрезеровки!$E$2:$E$5</definedName>
    <definedName name="МА_2">фрезеровки!$F$2:$F$13</definedName>
    <definedName name="МА_3">фрезеровки!$G$2:$G$9</definedName>
    <definedName name="МА_комб.">фрезеровки!$H$2:$H$5</definedName>
    <definedName name="Матовая">'Плёнка ПДТ'!$A$200:$A$203</definedName>
    <definedName name="Матовая_018">'Плёнка Артв'!$A$56:$A$68</definedName>
    <definedName name="Матовая_025">'Плёнка Артв'!$A$70:$A$90</definedName>
    <definedName name="Матовая_03">'Плёнка Артв'!$A$92</definedName>
    <definedName name="МДФ">'Отделка, таб.'!$F$62:$F$68</definedName>
    <definedName name="МДФ_">'Отделка, таб.'!$E$62:$E$68</definedName>
    <definedName name="МДФ_без_молд">'Отделка, таб.'!$K$62:$K$63</definedName>
    <definedName name="МДФ_О">'Отделка, таб.'!$E$62:$E$68</definedName>
    <definedName name="Мегаполис">Фурнитура!$B$114</definedName>
    <definedName name="мет_с_грунт">материалы!$C$3:$C$5</definedName>
    <definedName name="МЕТАЛЛ">'Отделка, таб.'!$C$62:$C$64</definedName>
    <definedName name="металл_">'Отделка, таб.'!$D$62:$D$67</definedName>
    <definedName name="МПКТ">материалы!$B$61:$B$62</definedName>
    <definedName name="МТР">материалы!$A$61</definedName>
    <definedName name="Муар">материалы!$E$15:$E$22</definedName>
    <definedName name="Накладка">материалы!$D$3:$D$5</definedName>
    <definedName name="Наличник">материалы!$B$46:$B$48</definedName>
    <definedName name="Наличник_МДФ">материалы!$C$47:$C$49</definedName>
    <definedName name="Наличник_Фанера">материалы!$C$48:$C$49</definedName>
    <definedName name="Наруж_025">'Плёнка Артв'!$A$26:$A$27</definedName>
    <definedName name="низ_0">Фурнитура!$C$76:$C$84</definedName>
    <definedName name="Низ_1">Фурнитура!$D$76:$D$89</definedName>
    <definedName name="Низ_2">Фурнитура!$E$76:$E$79</definedName>
    <definedName name="Низ_3">Фурнитура!$F$76:$F$89</definedName>
    <definedName name="Низ_4">Фурнитура!$G$76:$G$84</definedName>
    <definedName name="Низ_5">Фурнитура!$H$76:$H$83</definedName>
    <definedName name="Номер_открывания_1">дверь!$A$1</definedName>
    <definedName name="Номер_открывания_2">дверь!$B$1</definedName>
    <definedName name="Номер_открывания_3">дверь!$C$1</definedName>
    <definedName name="О_0">материалы!$A$55:$A$57</definedName>
    <definedName name="О_0вн.">материалы!$A$69:$A$74</definedName>
    <definedName name="О_1">материалы!$B$55:$B$57</definedName>
    <definedName name="О_1вн.">материалы!$B$69:$B$75</definedName>
    <definedName name="О_2">материалы!$C$55:$C$56</definedName>
    <definedName name="О_2вн.">материалы!$C$69:$C$71</definedName>
    <definedName name="_xlnm.Print_Area" localSheetId="0">Бланк!$A$1:$X$47</definedName>
    <definedName name="_xlnm.Print_Area" localSheetId="1">'Вставка схем'!$A$1:$P$82</definedName>
    <definedName name="_xlnm.Print_Area" localSheetId="2">Исходные!$B$3:$CD$5</definedName>
    <definedName name="_xlnm.Print_Area" localSheetId="4">Цена!$A$3:$J$291</definedName>
    <definedName name="окно_выбор">Цена!$C$283:$C$297</definedName>
    <definedName name="Окно_шт">материалы!$B$51:$G$51</definedName>
    <definedName name="окраска">Профдекор[[#Headers],[Структурная]:[Грунтовка щита МДФ]]</definedName>
    <definedName name="открытие_1">CHOOSE(Номер_открывания_1,_1_створчатая,_1_верхним_добором,_1_левым_добором,_1_верхним_и_лев_добором,_1_правым_добором,_1_верхним_и_прав_добором,_1_2_мя_доборами,_1_3_мя_доборами,_1_Центр_выпукл,_1_Бока_выпуклы,_2_створчатая,_2_верхним_добором,_2_левым_добором,_2_верхним_и_лев_добором,_2_правым_добором,_2_верхним_и_прав_добором,_2_2_мя_доборами,_2_3_мя_доборами)</definedName>
    <definedName name="открытие_2">CHOOSE(Номер_открывания_2,_1_створчатая,_1_верхним_добором,_1_левым_добором,_1_верхним_и_лев_добором,_1_правым_добором,_1_верхним_и_прав_добором,_1_2_мя_доборами,_1_3_мя_доборами,_1_Центр_выпукл,_1_Бока_выпуклы,_2_створчатая,_2_верхним_добором,_2_левым_добором,_2_верхним_и_лев_добором,_2_правым_добором,_2_верхним_и_прав_добором,_2_2_мя_доборами,_2_3_мя_доборами)</definedName>
    <definedName name="открытие_3">CHOOSE(Номер_открывания_3,_1_створчатая,_1_верхним_добором,_1_левым_добором,_1_верхним_и_лев_добором,_1_правым_добором,_1_верхним_и_прав_добором,_1_2_мя_доборами,_1_3_мя_доборами,_1_Центр_выпукл,_1_Бока_выпуклы,_2_створчатая,_2_верхним_добором,_2_левым_добором,_2_верхним_и_лев_добором,_2_правым_добором,_2_верхним_и_прав_добором,_2_2_мя_доборами,_2_3_мя_доборами)</definedName>
    <definedName name="Ошибки">Ошибки_цена[#All]</definedName>
    <definedName name="Патина">материалы!$F$7:$F$11</definedName>
    <definedName name="ПВХ_015">'Плёнка Ева'!$B$21:$B$37</definedName>
    <definedName name="ПВХ_018">'Плёнка Ева'!$B$39:$B$42</definedName>
    <definedName name="ПВХ_DE">'Плёнка ПДТ'!$A$30:$A$36</definedName>
    <definedName name="ПВХ_G">'Плёнка ПДТ'!$A$38:$A$40</definedName>
    <definedName name="ПВХ_M">'Плёнка ПДТ'!$A$42:$A$48</definedName>
    <definedName name="ПВХ_MD">'Плёнка ПДТ'!$A$50:$A$62</definedName>
    <definedName name="ПВХ_MDP">'Плёнка ПДТ'!$A$64:$A$107</definedName>
    <definedName name="ПВХ_MI">'Плёнка ПДТ'!$A$109:$A$138</definedName>
    <definedName name="ПВХ_SAT">'Плёнка ПДТ'!$A$140:$A$175</definedName>
    <definedName name="ПВХ_SM">'Плёнка ПДТ'!$A$176</definedName>
    <definedName name="ПВХ_SSM">'Плёнка ПДТ'!#REF!</definedName>
    <definedName name="ПВХ_STM">'Плёнка ПДТ'!$A$194:$A$197</definedName>
    <definedName name="ПВХ_SWGM">'Плёнка ПДТ'!#REF!</definedName>
    <definedName name="ПВХ_Заказная">'Плёнка ПДТ'!$A$217</definedName>
    <definedName name="ПВХ_ММ">'Плёнка ПДТ'!$A$177:$A$191</definedName>
    <definedName name="ПВХ_Стандарт">'Плёнка ПДТ'!$A$16:$A$28</definedName>
    <definedName name="ПДТ">Профдекор[[#Headers],[ПВХ_Стандарт]:[ПВХ_Заказная]]</definedName>
    <definedName name="ПКТ">материалы!$B$62</definedName>
    <definedName name="плёнка">Профдекор[[#Headers],[ПВХ_Стандарт]:[ПВХ_Заказная]]</definedName>
    <definedName name="Плёнки">Профдекор[#All]</definedName>
    <definedName name="Покраска">материалы!$A$14:$A$17</definedName>
    <definedName name="порошок">Фурнитура!$B$109:$C$109</definedName>
    <definedName name="Пост_плёнок">'Плёнка ПДТ'!$S$6:$U$6</definedName>
    <definedName name="Пр.штапик">фрезеровки!$D$2:$D$5</definedName>
    <definedName name="прем.">фрезеровки!$C$2:$C$131</definedName>
    <definedName name="прост.">фрезеровки!$B$2:$B$248</definedName>
    <definedName name="простая">фрезеровки!$B$2:$B$248</definedName>
    <definedName name="Р001">Фурнитура!$B$110</definedName>
    <definedName name="роз_квад_хр.">Фурнитура!#REF!</definedName>
    <definedName name="роз_квадрат">Фурнитура!$B$112:$C$112</definedName>
    <definedName name="розетка">Фурнитура!$B$111:$B$111</definedName>
    <definedName name="ручки">Фурнитура!$A$109:$A$128</definedName>
    <definedName name="Скоба_0901">Фурнитура!$B$124</definedName>
    <definedName name="Снаружи">материалы!$A$3:$A$8</definedName>
    <definedName name="Софт_016">'Плёнка Артв'!$A$105:$A$106</definedName>
    <definedName name="Софт_025_026">'Плёнка Артв'!$A$94:$A$103</definedName>
    <definedName name="софт_032">'Плёнка Ева'!$B$50:$B$57</definedName>
    <definedName name="Стандарт">Фурнитура!$Q$97:$R$97</definedName>
    <definedName name="Структурная">'Плёнка ПДТ'!$A$205:$A$213</definedName>
    <definedName name="Структурная_нестандарт">'Плёнка ПДТ'!$T$205:$T$212</definedName>
    <definedName name="ТOR">Фурнитура!$B$122:$D$122</definedName>
    <definedName name="Таблица10">Таблица12[]</definedName>
    <definedName name="Уличные">'Плёнка Ева'!$B$13:$B$19</definedName>
    <definedName name="Фанера">'Отделка, таб.'!$G$62:$G$63</definedName>
    <definedName name="фрез">фрезеровки!$X$2:$AE$2</definedName>
    <definedName name="фрез.">фрезеровки!$X$6:$AL$6</definedName>
    <definedName name="фрез..">фрезеровки!$X$4:$AH$4</definedName>
    <definedName name="Фрез_">фрезеровки!$T$3:$U$16</definedName>
    <definedName name="х_конт">'Отделка, таб.'!$L$62:$L$66</definedName>
    <definedName name="ХФ_1">фрезеровки!$I$2:$I$8</definedName>
    <definedName name="ХФ_2">фрезеровки!$J$2:$J$9</definedName>
    <definedName name="ХФ_3">фрезеровки!$K$2:$K$11</definedName>
    <definedName name="Цвет">Фурнитура!$A$109:$D$129</definedName>
    <definedName name="Цил.">Фурнитура!$P$97:$P$104</definedName>
    <definedName name="цилиндр_Апекс">Цена!$C$232:$C$238</definedName>
    <definedName name="Шагрень">материалы!$B$15:$B$26</definedName>
    <definedName name="Шагрень_АВ">'Плёнка Артв'!$A$108:$A$110</definedName>
    <definedName name="Шёлк">материалы!$C$15:$C$16</definedName>
    <definedName name="Шторка">Фурнитура!$B$101:$L$101</definedName>
    <definedName name="Шторка_О_2_М_3">Фурнитура!$B$102:$J$102</definedName>
    <definedName name="Эмали_лак">'Плёнка Ева'!$B$59:$B$60</definedName>
    <definedName name="Эмаль_018">'Плёнка Артв'!$A$112:$A$113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1" i="12" l="1"/>
  <c r="I102" i="12"/>
  <c r="S197" i="7"/>
  <c r="T197" i="7"/>
  <c r="W197" i="7" s="1"/>
  <c r="V197" i="7"/>
  <c r="Z197" i="7"/>
  <c r="S198" i="7"/>
  <c r="Z198" i="7" s="1"/>
  <c r="S199" i="7"/>
  <c r="S200" i="7"/>
  <c r="T198" i="7"/>
  <c r="U198" i="7" s="1"/>
  <c r="V198" i="7"/>
  <c r="W198" i="7"/>
  <c r="X198" i="7" s="1"/>
  <c r="AA198" i="7"/>
  <c r="AB198" i="7"/>
  <c r="AA197" i="7" l="1"/>
  <c r="AB197" i="7" s="1"/>
  <c r="U197" i="7"/>
  <c r="AE1" i="3"/>
  <c r="K264" i="7" l="1"/>
  <c r="F264" i="7"/>
  <c r="E264" i="7"/>
  <c r="F230" i="7"/>
  <c r="I197" i="7"/>
  <c r="K197" i="7"/>
  <c r="A19" i="7"/>
  <c r="A20" i="7"/>
  <c r="A21" i="7"/>
  <c r="A22" i="7"/>
  <c r="A23" i="7"/>
  <c r="A24" i="7"/>
  <c r="A25" i="7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N219" i="7"/>
  <c r="T219" i="7"/>
  <c r="W219" i="7" s="1"/>
  <c r="E280" i="7"/>
  <c r="F280" i="7" s="1"/>
  <c r="G280" i="7" s="1"/>
  <c r="H280" i="7" s="1"/>
  <c r="I280" i="7" s="1"/>
  <c r="J280" i="7" s="1"/>
  <c r="E281" i="7"/>
  <c r="F281" i="7"/>
  <c r="G281" i="7"/>
  <c r="H281" i="7"/>
  <c r="I281" i="7"/>
  <c r="J281" i="7"/>
  <c r="F279" i="7"/>
  <c r="G279" i="7" s="1"/>
  <c r="H279" i="7" s="1"/>
  <c r="I279" i="7" s="1"/>
  <c r="J279" i="7" s="1"/>
  <c r="E279" i="7"/>
  <c r="F282" i="7"/>
  <c r="G282" i="7"/>
  <c r="H282" i="7" s="1"/>
  <c r="I282" i="7" s="1"/>
  <c r="J282" i="7" s="1"/>
  <c r="E282" i="7"/>
  <c r="F104" i="12"/>
  <c r="E219" i="7"/>
  <c r="M219" i="7" l="1"/>
  <c r="A220" i="7"/>
  <c r="V219" i="7"/>
  <c r="S219" i="7"/>
  <c r="Z219" i="7" s="1"/>
  <c r="AA219" i="7"/>
  <c r="J270" i="7"/>
  <c r="I270" i="7"/>
  <c r="M220" i="7" l="1"/>
  <c r="A221" i="7"/>
  <c r="S220" i="7"/>
  <c r="N195" i="7"/>
  <c r="N197" i="7"/>
  <c r="O197" i="7"/>
  <c r="Q197" i="7"/>
  <c r="L101" i="12"/>
  <c r="H197" i="7"/>
  <c r="J196" i="7"/>
  <c r="J197" i="7"/>
  <c r="J195" i="7"/>
  <c r="F197" i="7"/>
  <c r="A222" i="7" l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M221" i="7"/>
  <c r="B42" i="12"/>
  <c r="H38" i="12" s="1"/>
  <c r="B41" i="12"/>
  <c r="H37" i="12" s="1"/>
  <c r="J210" i="7"/>
  <c r="F190" i="7"/>
  <c r="F191" i="7"/>
  <c r="I191" i="7" s="1"/>
  <c r="J191" i="7" s="1"/>
  <c r="H191" i="7"/>
  <c r="T210" i="7"/>
  <c r="I210" i="7"/>
  <c r="H210" i="7"/>
  <c r="G210" i="7"/>
  <c r="Q191" i="7"/>
  <c r="N237" i="7"/>
  <c r="N236" i="7"/>
  <c r="D44" i="12"/>
  <c r="D43" i="12"/>
  <c r="T236" i="7"/>
  <c r="W236" i="7" s="1"/>
  <c r="X236" i="7" s="1"/>
  <c r="P236" i="7" s="1"/>
  <c r="P102" i="12"/>
  <c r="E236" i="7"/>
  <c r="F236" i="7" s="1"/>
  <c r="G236" i="7" s="1"/>
  <c r="H236" i="7" s="1"/>
  <c r="I236" i="7" s="1"/>
  <c r="J236" i="7" s="1"/>
  <c r="E237" i="7"/>
  <c r="F237" i="7" s="1"/>
  <c r="G237" i="7" s="1"/>
  <c r="H237" i="7" s="1"/>
  <c r="I237" i="7" s="1"/>
  <c r="J237" i="7" s="1"/>
  <c r="T237" i="7"/>
  <c r="W237" i="7" s="1"/>
  <c r="P103" i="12"/>
  <c r="AA237" i="7" l="1"/>
  <c r="W210" i="7"/>
  <c r="AA210" i="7"/>
  <c r="AA236" i="7"/>
  <c r="AB236" i="7" s="1"/>
  <c r="Q236" i="7" s="1"/>
  <c r="U236" i="7"/>
  <c r="O236" i="7" s="1"/>
  <c r="G40" i="12" l="1"/>
  <c r="G39" i="12"/>
  <c r="E44" i="12"/>
  <c r="E43" i="12"/>
  <c r="D42" i="12"/>
  <c r="D41" i="12"/>
  <c r="T191" i="7"/>
  <c r="W191" i="7" s="1"/>
  <c r="T190" i="7"/>
  <c r="W190" i="7" s="1"/>
  <c r="I190" i="7"/>
  <c r="J190" i="7" s="1"/>
  <c r="AA190" i="7" l="1"/>
  <c r="AA191" i="7"/>
  <c r="H190" i="7" l="1"/>
  <c r="M110" i="16" l="1"/>
  <c r="B110" i="16"/>
  <c r="C110" i="16"/>
  <c r="D110" i="16"/>
  <c r="E110" i="16"/>
  <c r="F110" i="16"/>
  <c r="G110" i="16"/>
  <c r="H110" i="16"/>
  <c r="I110" i="16"/>
  <c r="J110" i="16"/>
  <c r="K110" i="16"/>
  <c r="N282" i="7" l="1"/>
  <c r="N246" i="7"/>
  <c r="T220" i="7"/>
  <c r="G104" i="12"/>
  <c r="T246" i="7"/>
  <c r="W246" i="7" s="1"/>
  <c r="F246" i="7"/>
  <c r="H246" i="7" s="1"/>
  <c r="I246" i="7" s="1"/>
  <c r="J246" i="7" s="1"/>
  <c r="H101" i="12"/>
  <c r="G101" i="12"/>
  <c r="F273" i="7"/>
  <c r="F272" i="7"/>
  <c r="E275" i="7"/>
  <c r="F275" i="7" s="1"/>
  <c r="G275" i="7" s="1"/>
  <c r="H275" i="7" s="1"/>
  <c r="I275" i="7" s="1"/>
  <c r="J275" i="7" s="1"/>
  <c r="T275" i="7"/>
  <c r="T282" i="7"/>
  <c r="F50" i="5"/>
  <c r="A123" i="12"/>
  <c r="H264" i="7"/>
  <c r="I264" i="7"/>
  <c r="J264" i="7" s="1"/>
  <c r="G264" i="7"/>
  <c r="I230" i="7"/>
  <c r="J230" i="7" s="1"/>
  <c r="H230" i="7"/>
  <c r="T230" i="7"/>
  <c r="W230" i="7" s="1"/>
  <c r="U246" i="7" l="1"/>
  <c r="O246" i="7" s="1"/>
  <c r="AA246" i="7"/>
  <c r="AB246" i="7" s="1"/>
  <c r="Q246" i="7" s="1"/>
  <c r="W220" i="7"/>
  <c r="AA220" i="7"/>
  <c r="AA230" i="7"/>
  <c r="W275" i="7"/>
  <c r="AA275" i="7"/>
  <c r="W282" i="7"/>
  <c r="X282" i="7" s="1"/>
  <c r="P282" i="7" s="1"/>
  <c r="AA282" i="7"/>
  <c r="AB282" i="7" s="1"/>
  <c r="Q282" i="7" s="1"/>
  <c r="B40" i="3" l="1"/>
  <c r="B24" i="3"/>
  <c r="B8" i="3" l="1"/>
  <c r="J22" i="7" l="1"/>
  <c r="J105" i="11" l="1"/>
  <c r="K105" i="11"/>
  <c r="L105" i="11"/>
  <c r="M105" i="11"/>
  <c r="N105" i="11"/>
  <c r="O105" i="11"/>
  <c r="P105" i="11"/>
  <c r="Q105" i="11"/>
  <c r="R105" i="11"/>
  <c r="S105" i="11"/>
  <c r="T105" i="11"/>
  <c r="J106" i="11"/>
  <c r="K106" i="11"/>
  <c r="L106" i="11"/>
  <c r="M106" i="11"/>
  <c r="N106" i="11"/>
  <c r="O106" i="11"/>
  <c r="P106" i="11"/>
  <c r="Q106" i="11"/>
  <c r="R106" i="11"/>
  <c r="S106" i="11"/>
  <c r="T106" i="11"/>
  <c r="J107" i="11"/>
  <c r="K107" i="11"/>
  <c r="L107" i="11"/>
  <c r="M107" i="11"/>
  <c r="N107" i="11"/>
  <c r="O107" i="11"/>
  <c r="P107" i="11"/>
  <c r="Q107" i="11"/>
  <c r="R107" i="11"/>
  <c r="S107" i="11"/>
  <c r="T107" i="11"/>
  <c r="D105" i="11"/>
  <c r="E105" i="11"/>
  <c r="F105" i="11"/>
  <c r="G105" i="11"/>
  <c r="H105" i="11"/>
  <c r="D106" i="11"/>
  <c r="E106" i="11"/>
  <c r="F106" i="11"/>
  <c r="G106" i="11"/>
  <c r="H106" i="11"/>
  <c r="D107" i="11"/>
  <c r="E107" i="11"/>
  <c r="F107" i="11"/>
  <c r="G107" i="11"/>
  <c r="H107" i="11"/>
  <c r="U105" i="11"/>
  <c r="U106" i="11"/>
  <c r="U107" i="11"/>
  <c r="V105" i="11"/>
  <c r="V106" i="11"/>
  <c r="V107" i="11"/>
  <c r="I208" i="7" l="1"/>
  <c r="J208" i="7" s="1"/>
  <c r="G208" i="7"/>
  <c r="H208" i="7" s="1"/>
  <c r="T188" i="7"/>
  <c r="W188" i="7" s="1"/>
  <c r="AA188" i="7" l="1"/>
  <c r="H188" i="7" l="1"/>
  <c r="I188" i="7" s="1"/>
  <c r="J188" i="7" s="1"/>
  <c r="D190" i="11" l="1"/>
  <c r="E190" i="11"/>
  <c r="F190" i="11"/>
  <c r="G190" i="11"/>
  <c r="H190" i="11"/>
  <c r="I190" i="11"/>
  <c r="J190" i="11"/>
  <c r="K190" i="11"/>
  <c r="L190" i="11"/>
  <c r="N190" i="11"/>
  <c r="O190" i="11"/>
  <c r="P190" i="11"/>
  <c r="Q190" i="11"/>
  <c r="R190" i="11"/>
  <c r="S190" i="11"/>
  <c r="T190" i="11"/>
  <c r="U190" i="11"/>
  <c r="V190" i="11"/>
  <c r="D191" i="11"/>
  <c r="E191" i="11"/>
  <c r="F191" i="11"/>
  <c r="G191" i="11"/>
  <c r="H191" i="11"/>
  <c r="I191" i="11"/>
  <c r="J191" i="11"/>
  <c r="K191" i="11"/>
  <c r="L191" i="11"/>
  <c r="N191" i="11"/>
  <c r="O191" i="11"/>
  <c r="P191" i="11"/>
  <c r="Q191" i="11"/>
  <c r="R191" i="11"/>
  <c r="S191" i="11"/>
  <c r="T191" i="11"/>
  <c r="U191" i="11"/>
  <c r="V191" i="11"/>
  <c r="I26" i="7" l="1"/>
  <c r="A245" i="6" l="1"/>
  <c r="A246" i="6" s="1"/>
  <c r="A247" i="6" s="1"/>
  <c r="B68" i="16" l="1"/>
  <c r="M67" i="16"/>
  <c r="L67" i="16"/>
  <c r="K67" i="16"/>
  <c r="J67" i="16"/>
  <c r="I67" i="16"/>
  <c r="H67" i="16"/>
  <c r="F67" i="16"/>
  <c r="E67" i="16"/>
  <c r="D67" i="16"/>
  <c r="C67" i="16"/>
  <c r="B67" i="16"/>
  <c r="M66" i="16"/>
  <c r="L66" i="16"/>
  <c r="K66" i="16"/>
  <c r="J66" i="16"/>
  <c r="I66" i="16"/>
  <c r="H66" i="16"/>
  <c r="F66" i="16"/>
  <c r="E66" i="16"/>
  <c r="D66" i="16"/>
  <c r="C66" i="16"/>
  <c r="B66" i="16"/>
  <c r="M65" i="16"/>
  <c r="L65" i="16"/>
  <c r="K65" i="16"/>
  <c r="J65" i="16"/>
  <c r="I65" i="16"/>
  <c r="H65" i="16"/>
  <c r="F65" i="16"/>
  <c r="E65" i="16"/>
  <c r="D65" i="16"/>
  <c r="C65" i="16"/>
  <c r="B65" i="16"/>
  <c r="M64" i="16"/>
  <c r="L64" i="16"/>
  <c r="K64" i="16"/>
  <c r="J64" i="16"/>
  <c r="I64" i="16"/>
  <c r="H64" i="16"/>
  <c r="F64" i="16"/>
  <c r="E64" i="16"/>
  <c r="D64" i="16"/>
  <c r="C64" i="16"/>
  <c r="B64" i="16"/>
  <c r="M63" i="16"/>
  <c r="L63" i="16"/>
  <c r="K63" i="16"/>
  <c r="J63" i="16"/>
  <c r="I63" i="16"/>
  <c r="H63" i="16"/>
  <c r="F63" i="16"/>
  <c r="E63" i="16"/>
  <c r="D63" i="16"/>
  <c r="C63" i="16"/>
  <c r="B63" i="16"/>
  <c r="M62" i="16"/>
  <c r="L62" i="16"/>
  <c r="K62" i="16"/>
  <c r="J62" i="16"/>
  <c r="I62" i="16"/>
  <c r="H62" i="16"/>
  <c r="F62" i="16"/>
  <c r="E62" i="16"/>
  <c r="D62" i="16"/>
  <c r="C62" i="16"/>
  <c r="B62" i="16"/>
  <c r="M61" i="16"/>
  <c r="L61" i="16"/>
  <c r="K61" i="16"/>
  <c r="J61" i="16"/>
  <c r="I61" i="16"/>
  <c r="H61" i="16"/>
  <c r="F61" i="16"/>
  <c r="E61" i="16"/>
  <c r="D61" i="16"/>
  <c r="C61" i="16"/>
  <c r="B61" i="16"/>
  <c r="M60" i="16"/>
  <c r="L60" i="16"/>
  <c r="K60" i="16"/>
  <c r="J60" i="16"/>
  <c r="I60" i="16"/>
  <c r="H60" i="16"/>
  <c r="F60" i="16"/>
  <c r="E60" i="16"/>
  <c r="D60" i="16"/>
  <c r="C60" i="16"/>
  <c r="B60" i="16"/>
  <c r="M59" i="16"/>
  <c r="L59" i="16"/>
  <c r="K59" i="16"/>
  <c r="J59" i="16"/>
  <c r="I59" i="16"/>
  <c r="H59" i="16"/>
  <c r="F59" i="16"/>
  <c r="E59" i="16"/>
  <c r="D59" i="16"/>
  <c r="C59" i="16"/>
  <c r="B59" i="16"/>
  <c r="M58" i="16"/>
  <c r="L58" i="16"/>
  <c r="K58" i="16"/>
  <c r="J58" i="16"/>
  <c r="I58" i="16"/>
  <c r="H58" i="16"/>
  <c r="F58" i="16"/>
  <c r="E58" i="16"/>
  <c r="D58" i="16"/>
  <c r="C58" i="16"/>
  <c r="B58" i="16"/>
  <c r="M57" i="16"/>
  <c r="L57" i="16"/>
  <c r="K57" i="16"/>
  <c r="J57" i="16"/>
  <c r="I57" i="16"/>
  <c r="H57" i="16"/>
  <c r="F57" i="16"/>
  <c r="E57" i="16"/>
  <c r="D57" i="16"/>
  <c r="C57" i="16"/>
  <c r="B57" i="16"/>
  <c r="N9" i="5" l="1"/>
  <c r="M9" i="5"/>
  <c r="O1" i="5" l="1"/>
  <c r="D18" i="11"/>
  <c r="D19" i="11"/>
  <c r="D20" i="11"/>
  <c r="D21" i="11"/>
  <c r="D22" i="11"/>
  <c r="D23" i="11"/>
  <c r="D24" i="11"/>
  <c r="D25" i="11"/>
  <c r="D26" i="11"/>
  <c r="D27" i="11"/>
  <c r="D28" i="11"/>
  <c r="D17" i="11"/>
  <c r="G12" i="11"/>
  <c r="G8" i="16" s="1"/>
  <c r="O10" i="5" l="1"/>
  <c r="L7" i="5"/>
  <c r="J30" i="5" l="1"/>
  <c r="K30" i="5"/>
  <c r="L30" i="5"/>
  <c r="M30" i="5"/>
  <c r="N30" i="5"/>
  <c r="O30" i="5"/>
  <c r="I30" i="5"/>
  <c r="T205" i="11"/>
  <c r="U205" i="11"/>
  <c r="V205" i="11"/>
  <c r="T206" i="11"/>
  <c r="U206" i="11"/>
  <c r="V206" i="11"/>
  <c r="T207" i="11"/>
  <c r="U207" i="11"/>
  <c r="V207" i="11"/>
  <c r="T208" i="11"/>
  <c r="U208" i="11"/>
  <c r="V208" i="11"/>
  <c r="T209" i="11"/>
  <c r="U209" i="11"/>
  <c r="V209" i="11"/>
  <c r="T210" i="11"/>
  <c r="U210" i="11"/>
  <c r="V210" i="11"/>
  <c r="T211" i="11"/>
  <c r="U211" i="11"/>
  <c r="V211" i="11"/>
  <c r="T212" i="11"/>
  <c r="U212" i="11"/>
  <c r="V212" i="11"/>
  <c r="T213" i="11"/>
  <c r="U213" i="11"/>
  <c r="V213" i="11"/>
  <c r="E213" i="11"/>
  <c r="F213" i="11"/>
  <c r="G213" i="11"/>
  <c r="H213" i="11"/>
  <c r="I213" i="11"/>
  <c r="J213" i="11"/>
  <c r="K213" i="11"/>
  <c r="L213" i="11"/>
  <c r="M213" i="11"/>
  <c r="N213" i="11"/>
  <c r="O213" i="11"/>
  <c r="P213" i="11"/>
  <c r="Q213" i="11"/>
  <c r="R213" i="11"/>
  <c r="D213" i="11"/>
  <c r="E31" i="11" l="1"/>
  <c r="E33" i="11"/>
  <c r="E34" i="11"/>
  <c r="E35" i="11"/>
  <c r="D34" i="11" l="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D33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D31" i="11"/>
  <c r="U94" i="5" l="1"/>
  <c r="V94" i="5"/>
  <c r="W94" i="5"/>
  <c r="X94" i="5"/>
  <c r="Y94" i="5"/>
  <c r="Z94" i="5"/>
  <c r="T94" i="5"/>
  <c r="U110" i="5" l="1"/>
  <c r="V110" i="5"/>
  <c r="W110" i="5"/>
  <c r="X110" i="5"/>
  <c r="Y110" i="5"/>
  <c r="Z110" i="5"/>
  <c r="T110" i="5"/>
  <c r="P101" i="12" l="1"/>
  <c r="P100" i="12"/>
  <c r="T59" i="7" l="1"/>
  <c r="W59" i="7" s="1"/>
  <c r="X59" i="7" s="1"/>
  <c r="P59" i="7" s="1"/>
  <c r="N59" i="7"/>
  <c r="G59" i="7"/>
  <c r="H59" i="7"/>
  <c r="E59" i="7"/>
  <c r="A69" i="5"/>
  <c r="D69" i="5" s="1"/>
  <c r="U59" i="7" l="1"/>
  <c r="O59" i="7" s="1"/>
  <c r="AA59" i="7"/>
  <c r="AB59" i="7" s="1"/>
  <c r="Q59" i="7" s="1"/>
  <c r="B69" i="5"/>
  <c r="E69" i="5" s="1"/>
  <c r="B51" i="16"/>
  <c r="C51" i="16"/>
  <c r="D51" i="16"/>
  <c r="E51" i="16"/>
  <c r="G51" i="16"/>
  <c r="H51" i="16"/>
  <c r="I51" i="16"/>
  <c r="J51" i="16"/>
  <c r="K51" i="16"/>
  <c r="L51" i="16"/>
  <c r="M51" i="16"/>
  <c r="J238" i="7" l="1"/>
  <c r="H212" i="7" l="1"/>
  <c r="I212" i="7" s="1"/>
  <c r="H213" i="7" s="1"/>
  <c r="J212" i="7" l="1"/>
  <c r="K212" i="7" s="1"/>
  <c r="N238" i="7"/>
  <c r="N235" i="7"/>
  <c r="N225" i="7"/>
  <c r="N216" i="7"/>
  <c r="T225" i="7"/>
  <c r="W225" i="7" s="1"/>
  <c r="J225" i="7"/>
  <c r="I225" i="7"/>
  <c r="H225" i="7"/>
  <c r="T216" i="7"/>
  <c r="W216" i="7" s="1"/>
  <c r="AA225" i="7" l="1"/>
  <c r="AA216" i="7"/>
  <c r="I222" i="7" l="1"/>
  <c r="P104" i="12" l="1"/>
  <c r="T238" i="7" l="1"/>
  <c r="W238" i="7" l="1"/>
  <c r="AA238" i="7"/>
  <c r="E36" i="11" l="1"/>
  <c r="D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U3" i="3" l="1"/>
  <c r="AD17" i="3" l="1"/>
  <c r="V19" i="11" l="1"/>
  <c r="U19" i="11"/>
  <c r="T19" i="11"/>
  <c r="S19" i="11"/>
  <c r="R19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V175" i="11" l="1"/>
  <c r="U175" i="11"/>
  <c r="T175" i="11"/>
  <c r="S175" i="11"/>
  <c r="R175" i="11"/>
  <c r="Q175" i="11"/>
  <c r="P175" i="11"/>
  <c r="O175" i="11"/>
  <c r="N175" i="11"/>
  <c r="M175" i="11"/>
  <c r="L175" i="11"/>
  <c r="J175" i="11"/>
  <c r="I175" i="11"/>
  <c r="H175" i="11"/>
  <c r="G175" i="11"/>
  <c r="F175" i="11"/>
  <c r="E175" i="11"/>
  <c r="D175" i="11"/>
  <c r="V174" i="11"/>
  <c r="U174" i="11"/>
  <c r="T174" i="11"/>
  <c r="S174" i="11"/>
  <c r="R174" i="11"/>
  <c r="Q174" i="11"/>
  <c r="P174" i="11"/>
  <c r="O174" i="11"/>
  <c r="N174" i="11"/>
  <c r="M174" i="11"/>
  <c r="L174" i="11"/>
  <c r="J174" i="11"/>
  <c r="I174" i="11"/>
  <c r="H174" i="11"/>
  <c r="G174" i="11"/>
  <c r="F174" i="11"/>
  <c r="E174" i="11"/>
  <c r="D174" i="11"/>
  <c r="V173" i="11"/>
  <c r="U173" i="11"/>
  <c r="T173" i="11"/>
  <c r="S173" i="11"/>
  <c r="R173" i="11"/>
  <c r="Q173" i="11"/>
  <c r="P173" i="11"/>
  <c r="O173" i="11"/>
  <c r="N173" i="11"/>
  <c r="M173" i="11"/>
  <c r="L173" i="11"/>
  <c r="J173" i="11"/>
  <c r="I173" i="11"/>
  <c r="H173" i="11"/>
  <c r="G173" i="11"/>
  <c r="F173" i="11"/>
  <c r="E173" i="11"/>
  <c r="D173" i="11"/>
  <c r="V172" i="11"/>
  <c r="U172" i="11"/>
  <c r="T172" i="11"/>
  <c r="S172" i="11"/>
  <c r="R172" i="11"/>
  <c r="Q172" i="11"/>
  <c r="P172" i="11"/>
  <c r="O172" i="11"/>
  <c r="N172" i="11"/>
  <c r="M172" i="11"/>
  <c r="L172" i="11"/>
  <c r="J172" i="11"/>
  <c r="I172" i="11"/>
  <c r="H172" i="11"/>
  <c r="G172" i="11"/>
  <c r="F172" i="11"/>
  <c r="E172" i="11"/>
  <c r="D172" i="11"/>
  <c r="V140" i="11"/>
  <c r="U140" i="11"/>
  <c r="T140" i="11"/>
  <c r="S140" i="11"/>
  <c r="R140" i="11"/>
  <c r="Q140" i="11"/>
  <c r="P140" i="11"/>
  <c r="O140" i="11"/>
  <c r="N140" i="11"/>
  <c r="M140" i="11"/>
  <c r="L140" i="11"/>
  <c r="J140" i="11"/>
  <c r="I140" i="11"/>
  <c r="H140" i="11"/>
  <c r="G140" i="11"/>
  <c r="F140" i="11"/>
  <c r="E140" i="11"/>
  <c r="D140" i="11"/>
  <c r="V119" i="11"/>
  <c r="U119" i="11"/>
  <c r="T119" i="11"/>
  <c r="S119" i="11"/>
  <c r="R119" i="11"/>
  <c r="Q119" i="11"/>
  <c r="P119" i="11"/>
  <c r="O119" i="11"/>
  <c r="N119" i="11"/>
  <c r="M119" i="11"/>
  <c r="L119" i="11"/>
  <c r="K119" i="11"/>
  <c r="I119" i="11"/>
  <c r="H119" i="11"/>
  <c r="G119" i="11"/>
  <c r="F119" i="11"/>
  <c r="E119" i="11"/>
  <c r="D119" i="11"/>
  <c r="V117" i="11"/>
  <c r="U117" i="11"/>
  <c r="T117" i="11"/>
  <c r="S117" i="11"/>
  <c r="R117" i="11"/>
  <c r="Q117" i="11"/>
  <c r="P117" i="11"/>
  <c r="O117" i="11"/>
  <c r="N117" i="11"/>
  <c r="M117" i="11"/>
  <c r="L117" i="11"/>
  <c r="K117" i="11"/>
  <c r="I117" i="11"/>
  <c r="H117" i="11"/>
  <c r="G117" i="11"/>
  <c r="F117" i="11"/>
  <c r="E117" i="11"/>
  <c r="D117" i="11"/>
  <c r="V110" i="11"/>
  <c r="U110" i="11"/>
  <c r="T110" i="11"/>
  <c r="S110" i="11"/>
  <c r="R110" i="11"/>
  <c r="Q110" i="11"/>
  <c r="P110" i="11"/>
  <c r="O110" i="11"/>
  <c r="N110" i="11"/>
  <c r="M110" i="11"/>
  <c r="L110" i="11"/>
  <c r="K110" i="11"/>
  <c r="I110" i="11"/>
  <c r="H110" i="11"/>
  <c r="G110" i="11"/>
  <c r="F110" i="11"/>
  <c r="E110" i="11"/>
  <c r="D110" i="11"/>
  <c r="V114" i="11"/>
  <c r="U114" i="11"/>
  <c r="T114" i="11"/>
  <c r="S114" i="11"/>
  <c r="R114" i="11"/>
  <c r="Q114" i="11"/>
  <c r="P114" i="11"/>
  <c r="O114" i="11"/>
  <c r="N114" i="11"/>
  <c r="M114" i="11"/>
  <c r="L114" i="11"/>
  <c r="K114" i="11"/>
  <c r="I114" i="11"/>
  <c r="H114" i="11"/>
  <c r="G114" i="11"/>
  <c r="F114" i="11"/>
  <c r="E114" i="11"/>
  <c r="D114" i="11"/>
  <c r="V112" i="11"/>
  <c r="U112" i="11"/>
  <c r="T112" i="11"/>
  <c r="S112" i="11"/>
  <c r="R112" i="11"/>
  <c r="Q112" i="11"/>
  <c r="P112" i="11"/>
  <c r="O112" i="11"/>
  <c r="N112" i="11"/>
  <c r="M112" i="11"/>
  <c r="L112" i="11"/>
  <c r="K112" i="11"/>
  <c r="I112" i="11"/>
  <c r="H112" i="11"/>
  <c r="G112" i="11"/>
  <c r="F112" i="11"/>
  <c r="E112" i="11"/>
  <c r="D112" i="11"/>
  <c r="D135" i="11"/>
  <c r="E135" i="11"/>
  <c r="F135" i="11"/>
  <c r="G135" i="11"/>
  <c r="H135" i="11"/>
  <c r="I135" i="11"/>
  <c r="K135" i="11"/>
  <c r="L135" i="11"/>
  <c r="M135" i="11"/>
  <c r="N135" i="11"/>
  <c r="O135" i="11"/>
  <c r="P135" i="11"/>
  <c r="Q135" i="11"/>
  <c r="R135" i="11"/>
  <c r="S135" i="11"/>
  <c r="T135" i="11"/>
  <c r="U135" i="11"/>
  <c r="V135" i="11"/>
  <c r="D136" i="11"/>
  <c r="E136" i="11"/>
  <c r="F136" i="11"/>
  <c r="G136" i="11"/>
  <c r="H136" i="11"/>
  <c r="I136" i="11"/>
  <c r="K136" i="11"/>
  <c r="L136" i="11"/>
  <c r="M136" i="11"/>
  <c r="N136" i="11"/>
  <c r="O136" i="11"/>
  <c r="P136" i="11"/>
  <c r="Q136" i="11"/>
  <c r="R136" i="11"/>
  <c r="S136" i="11"/>
  <c r="T136" i="11"/>
  <c r="U136" i="11"/>
  <c r="V136" i="11"/>
  <c r="D137" i="11"/>
  <c r="E137" i="11"/>
  <c r="F137" i="11"/>
  <c r="G137" i="11"/>
  <c r="H137" i="11"/>
  <c r="I137" i="11"/>
  <c r="K137" i="11"/>
  <c r="L137" i="11"/>
  <c r="M137" i="11"/>
  <c r="N137" i="11"/>
  <c r="O137" i="11"/>
  <c r="P137" i="11"/>
  <c r="Q137" i="11"/>
  <c r="R137" i="11"/>
  <c r="S137" i="11"/>
  <c r="T137" i="11"/>
  <c r="U137" i="11"/>
  <c r="V137" i="11"/>
  <c r="D138" i="11"/>
  <c r="E138" i="11"/>
  <c r="F138" i="11"/>
  <c r="G138" i="11"/>
  <c r="H138" i="11"/>
  <c r="I138" i="11"/>
  <c r="K138" i="11"/>
  <c r="L138" i="11"/>
  <c r="M138" i="11"/>
  <c r="N138" i="11"/>
  <c r="O138" i="11"/>
  <c r="P138" i="11"/>
  <c r="Q138" i="11"/>
  <c r="R138" i="11"/>
  <c r="S138" i="11"/>
  <c r="T138" i="11"/>
  <c r="U138" i="11"/>
  <c r="V138" i="11"/>
  <c r="D99" i="11"/>
  <c r="E99" i="11"/>
  <c r="F99" i="11"/>
  <c r="G99" i="11"/>
  <c r="H99" i="11"/>
  <c r="J99" i="11"/>
  <c r="K99" i="11"/>
  <c r="L99" i="11"/>
  <c r="M99" i="11"/>
  <c r="N99" i="11"/>
  <c r="O99" i="11"/>
  <c r="P99" i="11"/>
  <c r="Q99" i="11"/>
  <c r="R99" i="11"/>
  <c r="S99" i="11"/>
  <c r="T99" i="11"/>
  <c r="U99" i="11"/>
  <c r="V99" i="11"/>
  <c r="D100" i="11"/>
  <c r="E100" i="11"/>
  <c r="F100" i="11"/>
  <c r="G100" i="11"/>
  <c r="H100" i="11"/>
  <c r="J100" i="11"/>
  <c r="K100" i="11"/>
  <c r="L100" i="11"/>
  <c r="M100" i="11"/>
  <c r="N100" i="11"/>
  <c r="O100" i="11"/>
  <c r="P100" i="11"/>
  <c r="Q100" i="11"/>
  <c r="R100" i="11"/>
  <c r="S100" i="11"/>
  <c r="T100" i="11"/>
  <c r="U100" i="11"/>
  <c r="V100" i="11"/>
  <c r="D101" i="11"/>
  <c r="E101" i="11"/>
  <c r="F101" i="11"/>
  <c r="G101" i="11"/>
  <c r="H101" i="11"/>
  <c r="J101" i="11"/>
  <c r="K101" i="11"/>
  <c r="L101" i="11"/>
  <c r="M101" i="11"/>
  <c r="N101" i="11"/>
  <c r="O101" i="11"/>
  <c r="P101" i="11"/>
  <c r="Q101" i="11"/>
  <c r="R101" i="11"/>
  <c r="S101" i="11"/>
  <c r="T101" i="11"/>
  <c r="U101" i="11"/>
  <c r="V101" i="11"/>
  <c r="D96" i="11"/>
  <c r="E96" i="11"/>
  <c r="F96" i="11"/>
  <c r="G96" i="11"/>
  <c r="H96" i="11"/>
  <c r="J96" i="11"/>
  <c r="K96" i="11"/>
  <c r="L96" i="11"/>
  <c r="M96" i="11"/>
  <c r="N96" i="11"/>
  <c r="O96" i="11"/>
  <c r="P96" i="11"/>
  <c r="Q96" i="11"/>
  <c r="R96" i="11"/>
  <c r="S96" i="11"/>
  <c r="T96" i="11"/>
  <c r="U96" i="11"/>
  <c r="V96" i="11"/>
  <c r="D97" i="11"/>
  <c r="E97" i="11"/>
  <c r="F97" i="11"/>
  <c r="G97" i="11"/>
  <c r="H97" i="11"/>
  <c r="J97" i="11"/>
  <c r="K97" i="11"/>
  <c r="L97" i="11"/>
  <c r="M97" i="11"/>
  <c r="N97" i="11"/>
  <c r="O97" i="11"/>
  <c r="P97" i="11"/>
  <c r="Q97" i="11"/>
  <c r="R97" i="11"/>
  <c r="S97" i="11"/>
  <c r="T97" i="11"/>
  <c r="U97" i="11"/>
  <c r="V97" i="11"/>
  <c r="D98" i="11"/>
  <c r="E98" i="11"/>
  <c r="F98" i="11"/>
  <c r="G98" i="11"/>
  <c r="H98" i="11"/>
  <c r="J98" i="11"/>
  <c r="K98" i="11"/>
  <c r="L98" i="11"/>
  <c r="M98" i="11"/>
  <c r="N98" i="11"/>
  <c r="O98" i="11"/>
  <c r="P98" i="11"/>
  <c r="Q98" i="11"/>
  <c r="R98" i="11"/>
  <c r="S98" i="11"/>
  <c r="T98" i="11"/>
  <c r="U98" i="11"/>
  <c r="V98" i="11"/>
  <c r="D102" i="11"/>
  <c r="E102" i="11"/>
  <c r="F102" i="11"/>
  <c r="G102" i="11"/>
  <c r="H102" i="11"/>
  <c r="J102" i="11"/>
  <c r="K102" i="11"/>
  <c r="L102" i="11"/>
  <c r="M102" i="11"/>
  <c r="N102" i="11"/>
  <c r="O102" i="11"/>
  <c r="P102" i="11"/>
  <c r="Q102" i="11"/>
  <c r="R102" i="11"/>
  <c r="S102" i="11"/>
  <c r="T102" i="11"/>
  <c r="U102" i="11"/>
  <c r="V102" i="11"/>
  <c r="D103" i="11"/>
  <c r="E103" i="11"/>
  <c r="F103" i="11"/>
  <c r="G103" i="11"/>
  <c r="H103" i="11"/>
  <c r="J103" i="11"/>
  <c r="K103" i="11"/>
  <c r="L103" i="11"/>
  <c r="M103" i="11"/>
  <c r="N103" i="11"/>
  <c r="O103" i="11"/>
  <c r="P103" i="11"/>
  <c r="Q103" i="11"/>
  <c r="R103" i="11"/>
  <c r="S103" i="11"/>
  <c r="T103" i="11"/>
  <c r="U103" i="11"/>
  <c r="V103" i="11"/>
  <c r="D104" i="11"/>
  <c r="E104" i="11"/>
  <c r="F104" i="11"/>
  <c r="G104" i="11"/>
  <c r="H104" i="11"/>
  <c r="J104" i="11"/>
  <c r="K104" i="11"/>
  <c r="L104" i="11"/>
  <c r="M104" i="11"/>
  <c r="N104" i="11"/>
  <c r="O104" i="11"/>
  <c r="P104" i="11"/>
  <c r="Q104" i="11"/>
  <c r="R104" i="11"/>
  <c r="S104" i="11"/>
  <c r="T104" i="11"/>
  <c r="U104" i="11"/>
  <c r="V104" i="11"/>
  <c r="D73" i="11"/>
  <c r="E73" i="11"/>
  <c r="F73" i="11"/>
  <c r="G73" i="11"/>
  <c r="H73" i="11"/>
  <c r="J73" i="11"/>
  <c r="K73" i="11"/>
  <c r="L73" i="11"/>
  <c r="M73" i="11"/>
  <c r="N73" i="11"/>
  <c r="O73" i="11"/>
  <c r="P73" i="11"/>
  <c r="Q73" i="11"/>
  <c r="R73" i="11"/>
  <c r="S73" i="11"/>
  <c r="T73" i="11"/>
  <c r="U73" i="11"/>
  <c r="V73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D56" i="11"/>
  <c r="E56" i="11"/>
  <c r="F56" i="11"/>
  <c r="G56" i="11"/>
  <c r="O49" i="11"/>
  <c r="U49" i="11"/>
  <c r="V49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D43" i="11"/>
  <c r="E43" i="11"/>
  <c r="F43" i="11"/>
  <c r="AB172" i="7" l="1"/>
  <c r="X172" i="7"/>
  <c r="AB161" i="7"/>
  <c r="X161" i="7"/>
  <c r="AB169" i="7"/>
  <c r="X169" i="7"/>
  <c r="U161" i="7"/>
  <c r="H189" i="7" l="1"/>
  <c r="I189" i="7" s="1"/>
  <c r="J189" i="7" s="1"/>
  <c r="F189" i="7"/>
  <c r="U11" i="5" l="1"/>
  <c r="T11" i="5"/>
  <c r="W62" i="5"/>
  <c r="W61" i="5"/>
  <c r="W58" i="5"/>
  <c r="W57" i="5"/>
  <c r="W56" i="5"/>
  <c r="W55" i="5"/>
  <c r="W54" i="5"/>
  <c r="W49" i="5"/>
  <c r="V47" i="5"/>
  <c r="V48" i="5"/>
  <c r="V49" i="5"/>
  <c r="V50" i="5"/>
  <c r="V51" i="5"/>
  <c r="V52" i="5"/>
  <c r="V46" i="5"/>
  <c r="V59" i="5"/>
  <c r="V60" i="5"/>
  <c r="V63" i="5"/>
  <c r="U55" i="5"/>
  <c r="U56" i="5"/>
  <c r="U57" i="5"/>
  <c r="U58" i="5"/>
  <c r="U59" i="5"/>
  <c r="U60" i="5"/>
  <c r="U61" i="5"/>
  <c r="U62" i="5"/>
  <c r="U63" i="5"/>
  <c r="U54" i="5"/>
  <c r="T55" i="5"/>
  <c r="T56" i="5"/>
  <c r="T57" i="5"/>
  <c r="T58" i="5"/>
  <c r="T54" i="5"/>
  <c r="Y55" i="5"/>
  <c r="Y56" i="5"/>
  <c r="Y57" i="5"/>
  <c r="Y58" i="5"/>
  <c r="Y59" i="5"/>
  <c r="Y60" i="5"/>
  <c r="Y61" i="5"/>
  <c r="Y62" i="5"/>
  <c r="Y63" i="5"/>
  <c r="Y54" i="5"/>
  <c r="Z59" i="5"/>
  <c r="Z51" i="5"/>
  <c r="Z52" i="5"/>
  <c r="Y46" i="5"/>
  <c r="Z46" i="5"/>
  <c r="Y47" i="5"/>
  <c r="Z47" i="5"/>
  <c r="Y48" i="5"/>
  <c r="Z48" i="5"/>
  <c r="Y49" i="5"/>
  <c r="Z49" i="5"/>
  <c r="Y50" i="5"/>
  <c r="Z50" i="5"/>
  <c r="X63" i="5"/>
  <c r="X46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47" i="5"/>
  <c r="D2" i="11" l="1"/>
  <c r="E2" i="11"/>
  <c r="R5" i="3" l="1"/>
  <c r="O5" i="3"/>
  <c r="D3" i="11" s="1"/>
  <c r="L5" i="3"/>
  <c r="AB2" i="3" l="1"/>
  <c r="R37" i="3" l="1"/>
  <c r="O37" i="3"/>
  <c r="O3" i="11" s="1"/>
  <c r="L37" i="3"/>
  <c r="R21" i="3"/>
  <c r="O21" i="3"/>
  <c r="J3" i="11" s="1"/>
  <c r="L21" i="3"/>
  <c r="AB146" i="7" l="1"/>
  <c r="X146" i="7"/>
  <c r="D261" i="7" l="1"/>
  <c r="F288" i="7" l="1"/>
  <c r="B24" i="16" l="1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3" i="16"/>
  <c r="B52" i="16"/>
  <c r="B54" i="16"/>
  <c r="B55" i="16"/>
  <c r="B56" i="16"/>
  <c r="B69" i="16"/>
  <c r="B70" i="16"/>
  <c r="B71" i="16"/>
  <c r="B72" i="16"/>
  <c r="B73" i="16"/>
  <c r="B74" i="16"/>
  <c r="B75" i="16"/>
  <c r="B76" i="16"/>
  <c r="B77" i="16"/>
  <c r="B78" i="16"/>
  <c r="B79" i="16"/>
  <c r="B80" i="16"/>
  <c r="B81" i="16"/>
  <c r="B82" i="16"/>
  <c r="B83" i="16"/>
  <c r="B84" i="16"/>
  <c r="B85" i="16"/>
  <c r="B86" i="16"/>
  <c r="B87" i="16"/>
  <c r="B88" i="16"/>
  <c r="B89" i="16"/>
  <c r="B90" i="16"/>
  <c r="B91" i="16"/>
  <c r="B92" i="16"/>
  <c r="B93" i="16"/>
  <c r="B94" i="16"/>
  <c r="B95" i="16"/>
  <c r="B96" i="16"/>
  <c r="B97" i="16"/>
  <c r="B98" i="16"/>
  <c r="B99" i="16"/>
  <c r="B100" i="16"/>
  <c r="B101" i="16"/>
  <c r="B102" i="16"/>
  <c r="B103" i="16"/>
  <c r="B104" i="16"/>
  <c r="B105" i="16"/>
  <c r="B106" i="16"/>
  <c r="B107" i="16"/>
  <c r="B108" i="16"/>
  <c r="B109" i="16"/>
  <c r="B111" i="16"/>
  <c r="B112" i="16"/>
  <c r="B113" i="16"/>
  <c r="B23" i="16"/>
  <c r="B13" i="16"/>
  <c r="B14" i="16"/>
  <c r="B15" i="16"/>
  <c r="B16" i="16"/>
  <c r="B17" i="16"/>
  <c r="B18" i="16"/>
  <c r="B19" i="16"/>
  <c r="B20" i="16"/>
  <c r="B21" i="16"/>
  <c r="D203" i="7" l="1"/>
  <c r="E244" i="7"/>
  <c r="J244" i="7" l="1"/>
  <c r="H244" i="7"/>
  <c r="F244" i="7"/>
  <c r="I244" i="7" s="1"/>
  <c r="F206" i="7"/>
  <c r="E203" i="7"/>
  <c r="F203" i="7" s="1"/>
  <c r="G203" i="7" s="1"/>
  <c r="H203" i="7" s="1"/>
  <c r="I203" i="7" s="1"/>
  <c r="E202" i="7"/>
  <c r="F202" i="7" s="1"/>
  <c r="G202" i="7" s="1"/>
  <c r="H202" i="7" s="1"/>
  <c r="I202" i="7" s="1"/>
  <c r="D202" i="7"/>
  <c r="H201" i="7"/>
  <c r="E201" i="7"/>
  <c r="G201" i="7" s="1"/>
  <c r="D201" i="7"/>
  <c r="F187" i="7"/>
  <c r="F185" i="7"/>
  <c r="AU5" i="8" l="1"/>
  <c r="AU4" i="8"/>
  <c r="AU3" i="8"/>
  <c r="B12" i="16" l="1"/>
  <c r="C22" i="16"/>
  <c r="D22" i="16" s="1"/>
  <c r="E22" i="16" s="1"/>
  <c r="F22" i="16" s="1"/>
  <c r="G22" i="16" s="1"/>
  <c r="H22" i="16" s="1"/>
  <c r="I22" i="16" s="1"/>
  <c r="J22" i="16" s="1"/>
  <c r="K22" i="16" s="1"/>
  <c r="L22" i="16" s="1"/>
  <c r="M22" i="16" s="1"/>
  <c r="C36" i="16" l="1"/>
  <c r="D36" i="16"/>
  <c r="E36" i="16"/>
  <c r="G36" i="16"/>
  <c r="H36" i="16"/>
  <c r="I36" i="16"/>
  <c r="J36" i="16"/>
  <c r="K36" i="16"/>
  <c r="L36" i="16"/>
  <c r="M36" i="16"/>
  <c r="P2" i="11" l="1"/>
  <c r="O2" i="11"/>
  <c r="K2" i="11"/>
  <c r="J2" i="11"/>
  <c r="O4" i="11" l="1"/>
  <c r="J4" i="11"/>
  <c r="A238" i="6"/>
  <c r="A239" i="6" s="1"/>
  <c r="A240" i="6" s="1"/>
  <c r="A241" i="6" s="1"/>
  <c r="A242" i="6" s="1"/>
  <c r="A243" i="6" s="1"/>
  <c r="A244" i="6" s="1"/>
  <c r="H17" i="11" l="1"/>
  <c r="H16" i="11"/>
  <c r="I20" i="11"/>
  <c r="I21" i="11"/>
  <c r="I22" i="11"/>
  <c r="I23" i="11"/>
  <c r="I25" i="11"/>
  <c r="I26" i="11"/>
  <c r="I27" i="11"/>
  <c r="I28" i="11"/>
  <c r="I24" i="11"/>
  <c r="D47" i="7" l="1"/>
  <c r="D48" i="7"/>
  <c r="T78" i="7"/>
  <c r="T79" i="7"/>
  <c r="T80" i="7"/>
  <c r="T81" i="7"/>
  <c r="T82" i="7"/>
  <c r="C79" i="7"/>
  <c r="C80" i="7"/>
  <c r="C81" i="7"/>
  <c r="C78" i="7"/>
  <c r="T83" i="7"/>
  <c r="T60" i="7"/>
  <c r="T61" i="7"/>
  <c r="T62" i="7"/>
  <c r="T63" i="7"/>
  <c r="T64" i="7"/>
  <c r="T65" i="7"/>
  <c r="T66" i="7"/>
  <c r="E47" i="7"/>
  <c r="F47" i="7"/>
  <c r="G47" i="7"/>
  <c r="H47" i="7"/>
  <c r="I47" i="7"/>
  <c r="J47" i="7"/>
  <c r="T47" i="7"/>
  <c r="U47" i="7" s="1"/>
  <c r="T48" i="7"/>
  <c r="N47" i="7"/>
  <c r="N48" i="7"/>
  <c r="AA48" i="7" l="1"/>
  <c r="AB48" i="7" s="1"/>
  <c r="U48" i="7"/>
  <c r="AA47" i="7"/>
  <c r="AB47" i="7" s="1"/>
  <c r="W48" i="7"/>
  <c r="X48" i="7" s="1"/>
  <c r="W47" i="7"/>
  <c r="X47" i="7" s="1"/>
  <c r="N17" i="3" l="1"/>
  <c r="N33" i="3" s="1"/>
  <c r="M17" i="3"/>
  <c r="M33" i="3" s="1"/>
  <c r="L8" i="16" l="1"/>
  <c r="Q12" i="11"/>
  <c r="P8" i="17" s="1"/>
  <c r="L12" i="11"/>
  <c r="K8" i="17" s="1"/>
  <c r="F8" i="17"/>
  <c r="Q8" i="16" l="1"/>
  <c r="M10" i="17"/>
  <c r="H10" i="17"/>
  <c r="C10" i="17"/>
  <c r="M8" i="17"/>
  <c r="H8" i="17"/>
  <c r="C8" i="17"/>
  <c r="L113" i="16"/>
  <c r="K113" i="16"/>
  <c r="J113" i="16"/>
  <c r="I113" i="16"/>
  <c r="H113" i="16"/>
  <c r="G113" i="16"/>
  <c r="F113" i="16"/>
  <c r="E113" i="16"/>
  <c r="D113" i="16"/>
  <c r="C113" i="16"/>
  <c r="L112" i="16"/>
  <c r="K112" i="16"/>
  <c r="J112" i="16"/>
  <c r="I112" i="16"/>
  <c r="H112" i="16"/>
  <c r="G112" i="16"/>
  <c r="F112" i="16"/>
  <c r="E112" i="16"/>
  <c r="D112" i="16"/>
  <c r="C112" i="16"/>
  <c r="M109" i="16"/>
  <c r="K109" i="16"/>
  <c r="J109" i="16"/>
  <c r="I109" i="16"/>
  <c r="H109" i="16"/>
  <c r="G109" i="16"/>
  <c r="F109" i="16"/>
  <c r="E109" i="16"/>
  <c r="D109" i="16"/>
  <c r="C109" i="16"/>
  <c r="M108" i="16"/>
  <c r="K108" i="16"/>
  <c r="J108" i="16"/>
  <c r="I108" i="16"/>
  <c r="H108" i="16"/>
  <c r="G108" i="16"/>
  <c r="F108" i="16"/>
  <c r="E108" i="16"/>
  <c r="D108" i="16"/>
  <c r="C108" i="16"/>
  <c r="M107" i="16"/>
  <c r="L107" i="16"/>
  <c r="K107" i="16"/>
  <c r="J107" i="16"/>
  <c r="I107" i="16"/>
  <c r="H107" i="16"/>
  <c r="G107" i="16"/>
  <c r="F107" i="16"/>
  <c r="E107" i="16"/>
  <c r="D107" i="16"/>
  <c r="C107" i="16"/>
  <c r="M106" i="16"/>
  <c r="L106" i="16"/>
  <c r="J106" i="16"/>
  <c r="I106" i="16"/>
  <c r="H106" i="16"/>
  <c r="G106" i="16"/>
  <c r="F106" i="16"/>
  <c r="E106" i="16"/>
  <c r="D106" i="16"/>
  <c r="C106" i="16"/>
  <c r="M105" i="16"/>
  <c r="L105" i="16"/>
  <c r="J105" i="16"/>
  <c r="I105" i="16"/>
  <c r="H105" i="16"/>
  <c r="G105" i="16"/>
  <c r="F105" i="16"/>
  <c r="E105" i="16"/>
  <c r="D105" i="16"/>
  <c r="C105" i="16"/>
  <c r="M103" i="16"/>
  <c r="L103" i="16"/>
  <c r="K103" i="16"/>
  <c r="I103" i="16"/>
  <c r="H103" i="16"/>
  <c r="G103" i="16"/>
  <c r="F103" i="16"/>
  <c r="E103" i="16"/>
  <c r="D103" i="16"/>
  <c r="C103" i="16"/>
  <c r="M102" i="16"/>
  <c r="L102" i="16"/>
  <c r="K102" i="16"/>
  <c r="I102" i="16"/>
  <c r="H102" i="16"/>
  <c r="G102" i="16"/>
  <c r="F102" i="16"/>
  <c r="E102" i="16"/>
  <c r="D102" i="16"/>
  <c r="C102" i="16"/>
  <c r="M101" i="16"/>
  <c r="L101" i="16"/>
  <c r="K101" i="16"/>
  <c r="I101" i="16"/>
  <c r="H101" i="16"/>
  <c r="G101" i="16"/>
  <c r="F101" i="16"/>
  <c r="E101" i="16"/>
  <c r="D101" i="16"/>
  <c r="C101" i="16"/>
  <c r="M100" i="16"/>
  <c r="L100" i="16"/>
  <c r="K100" i="16"/>
  <c r="I100" i="16"/>
  <c r="H100" i="16"/>
  <c r="G100" i="16"/>
  <c r="F100" i="16"/>
  <c r="E100" i="16"/>
  <c r="D100" i="16"/>
  <c r="C100" i="16"/>
  <c r="M99" i="16"/>
  <c r="L99" i="16"/>
  <c r="K99" i="16"/>
  <c r="I99" i="16"/>
  <c r="H99" i="16"/>
  <c r="G99" i="16"/>
  <c r="F99" i="16"/>
  <c r="E99" i="16"/>
  <c r="D99" i="16"/>
  <c r="C99" i="16"/>
  <c r="M98" i="16"/>
  <c r="L98" i="16"/>
  <c r="K98" i="16"/>
  <c r="I98" i="16"/>
  <c r="H98" i="16"/>
  <c r="G98" i="16"/>
  <c r="F98" i="16"/>
  <c r="E98" i="16"/>
  <c r="D98" i="16"/>
  <c r="C98" i="16"/>
  <c r="M97" i="16"/>
  <c r="L97" i="16"/>
  <c r="K97" i="16"/>
  <c r="I97" i="16"/>
  <c r="H97" i="16"/>
  <c r="G97" i="16"/>
  <c r="F97" i="16"/>
  <c r="E97" i="16"/>
  <c r="D97" i="16"/>
  <c r="C97" i="16"/>
  <c r="M96" i="16"/>
  <c r="L96" i="16"/>
  <c r="K96" i="16"/>
  <c r="I96" i="16"/>
  <c r="H96" i="16"/>
  <c r="G96" i="16"/>
  <c r="F96" i="16"/>
  <c r="E96" i="16"/>
  <c r="D96" i="16"/>
  <c r="C96" i="16"/>
  <c r="M95" i="16"/>
  <c r="L95" i="16"/>
  <c r="K95" i="16"/>
  <c r="I95" i="16"/>
  <c r="H95" i="16"/>
  <c r="G95" i="16"/>
  <c r="F95" i="16"/>
  <c r="E95" i="16"/>
  <c r="D95" i="16"/>
  <c r="C95" i="16"/>
  <c r="M94" i="16"/>
  <c r="L94" i="16"/>
  <c r="K94" i="16"/>
  <c r="I94" i="16"/>
  <c r="H94" i="16"/>
  <c r="G94" i="16"/>
  <c r="F94" i="16"/>
  <c r="E94" i="16"/>
  <c r="D94" i="16"/>
  <c r="C94" i="16"/>
  <c r="M92" i="16"/>
  <c r="L92" i="16"/>
  <c r="K92" i="16"/>
  <c r="J92" i="16"/>
  <c r="H92" i="16"/>
  <c r="G92" i="16"/>
  <c r="F92" i="16"/>
  <c r="E92" i="16"/>
  <c r="D92" i="16"/>
  <c r="C92" i="16"/>
  <c r="M90" i="16"/>
  <c r="L90" i="16"/>
  <c r="K90" i="16"/>
  <c r="J90" i="16"/>
  <c r="I90" i="16"/>
  <c r="G90" i="16"/>
  <c r="F90" i="16"/>
  <c r="E90" i="16"/>
  <c r="D90" i="16"/>
  <c r="C90" i="16"/>
  <c r="M89" i="16"/>
  <c r="L89" i="16"/>
  <c r="K89" i="16"/>
  <c r="J89" i="16"/>
  <c r="I89" i="16"/>
  <c r="G89" i="16"/>
  <c r="F89" i="16"/>
  <c r="E89" i="16"/>
  <c r="D89" i="16"/>
  <c r="C89" i="16"/>
  <c r="M88" i="16"/>
  <c r="L88" i="16"/>
  <c r="K88" i="16"/>
  <c r="J88" i="16"/>
  <c r="I88" i="16"/>
  <c r="G88" i="16"/>
  <c r="F88" i="16"/>
  <c r="E88" i="16"/>
  <c r="D88" i="16"/>
  <c r="C88" i="16"/>
  <c r="M87" i="16"/>
  <c r="L87" i="16"/>
  <c r="K87" i="16"/>
  <c r="J87" i="16"/>
  <c r="I87" i="16"/>
  <c r="G87" i="16"/>
  <c r="F87" i="16"/>
  <c r="E87" i="16"/>
  <c r="D87" i="16"/>
  <c r="C87" i="16"/>
  <c r="M86" i="16"/>
  <c r="L86" i="16"/>
  <c r="K86" i="16"/>
  <c r="J86" i="16"/>
  <c r="I86" i="16"/>
  <c r="G86" i="16"/>
  <c r="F86" i="16"/>
  <c r="E86" i="16"/>
  <c r="D86" i="16"/>
  <c r="C86" i="16"/>
  <c r="M85" i="16"/>
  <c r="L85" i="16"/>
  <c r="K85" i="16"/>
  <c r="J85" i="16"/>
  <c r="I85" i="16"/>
  <c r="G85" i="16"/>
  <c r="F85" i="16"/>
  <c r="E85" i="16"/>
  <c r="D85" i="16"/>
  <c r="C85" i="16"/>
  <c r="M84" i="16"/>
  <c r="L84" i="16"/>
  <c r="K84" i="16"/>
  <c r="J84" i="16"/>
  <c r="I84" i="16"/>
  <c r="G84" i="16"/>
  <c r="F84" i="16"/>
  <c r="E84" i="16"/>
  <c r="D84" i="16"/>
  <c r="C84" i="16"/>
  <c r="M83" i="16"/>
  <c r="L83" i="16"/>
  <c r="K83" i="16"/>
  <c r="J83" i="16"/>
  <c r="I83" i="16"/>
  <c r="G83" i="16"/>
  <c r="F83" i="16"/>
  <c r="E83" i="16"/>
  <c r="D83" i="16"/>
  <c r="C83" i="16"/>
  <c r="M82" i="16"/>
  <c r="L82" i="16"/>
  <c r="K82" i="16"/>
  <c r="J82" i="16"/>
  <c r="I82" i="16"/>
  <c r="G82" i="16"/>
  <c r="F82" i="16"/>
  <c r="E82" i="16"/>
  <c r="D82" i="16"/>
  <c r="C82" i="16"/>
  <c r="M81" i="16"/>
  <c r="L81" i="16"/>
  <c r="K81" i="16"/>
  <c r="J81" i="16"/>
  <c r="I81" i="16"/>
  <c r="G81" i="16"/>
  <c r="F81" i="16"/>
  <c r="E81" i="16"/>
  <c r="D81" i="16"/>
  <c r="C81" i="16"/>
  <c r="M80" i="16"/>
  <c r="L80" i="16"/>
  <c r="K80" i="16"/>
  <c r="J80" i="16"/>
  <c r="I80" i="16"/>
  <c r="G80" i="16"/>
  <c r="F80" i="16"/>
  <c r="E80" i="16"/>
  <c r="D80" i="16"/>
  <c r="C80" i="16"/>
  <c r="M79" i="16"/>
  <c r="L79" i="16"/>
  <c r="K79" i="16"/>
  <c r="J79" i="16"/>
  <c r="I79" i="16"/>
  <c r="G79" i="16"/>
  <c r="F79" i="16"/>
  <c r="E79" i="16"/>
  <c r="D79" i="16"/>
  <c r="C79" i="16"/>
  <c r="M78" i="16"/>
  <c r="L78" i="16"/>
  <c r="K78" i="16"/>
  <c r="J78" i="16"/>
  <c r="I78" i="16"/>
  <c r="G78" i="16"/>
  <c r="F78" i="16"/>
  <c r="E78" i="16"/>
  <c r="D78" i="16"/>
  <c r="C78" i="16"/>
  <c r="M77" i="16"/>
  <c r="L77" i="16"/>
  <c r="K77" i="16"/>
  <c r="J77" i="16"/>
  <c r="I77" i="16"/>
  <c r="G77" i="16"/>
  <c r="F77" i="16"/>
  <c r="E77" i="16"/>
  <c r="D77" i="16"/>
  <c r="C77" i="16"/>
  <c r="M76" i="16"/>
  <c r="L76" i="16"/>
  <c r="K76" i="16"/>
  <c r="J76" i="16"/>
  <c r="I76" i="16"/>
  <c r="G76" i="16"/>
  <c r="F76" i="16"/>
  <c r="E76" i="16"/>
  <c r="D76" i="16"/>
  <c r="C76" i="16"/>
  <c r="M75" i="16"/>
  <c r="L75" i="16"/>
  <c r="K75" i="16"/>
  <c r="J75" i="16"/>
  <c r="I75" i="16"/>
  <c r="G75" i="16"/>
  <c r="F75" i="16"/>
  <c r="E75" i="16"/>
  <c r="D75" i="16"/>
  <c r="C75" i="16"/>
  <c r="M74" i="16"/>
  <c r="L74" i="16"/>
  <c r="K74" i="16"/>
  <c r="J74" i="16"/>
  <c r="I74" i="16"/>
  <c r="G74" i="16"/>
  <c r="F74" i="16"/>
  <c r="E74" i="16"/>
  <c r="D74" i="16"/>
  <c r="C74" i="16"/>
  <c r="M73" i="16"/>
  <c r="L73" i="16"/>
  <c r="K73" i="16"/>
  <c r="J73" i="16"/>
  <c r="I73" i="16"/>
  <c r="G73" i="16"/>
  <c r="F73" i="16"/>
  <c r="E73" i="16"/>
  <c r="D73" i="16"/>
  <c r="C73" i="16"/>
  <c r="M72" i="16"/>
  <c r="L72" i="16"/>
  <c r="K72" i="16"/>
  <c r="J72" i="16"/>
  <c r="I72" i="16"/>
  <c r="G72" i="16"/>
  <c r="F72" i="16"/>
  <c r="E72" i="16"/>
  <c r="D72" i="16"/>
  <c r="C72" i="16"/>
  <c r="M71" i="16"/>
  <c r="L71" i="16"/>
  <c r="K71" i="16"/>
  <c r="J71" i="16"/>
  <c r="I71" i="16"/>
  <c r="G71" i="16"/>
  <c r="F71" i="16"/>
  <c r="E71" i="16"/>
  <c r="D71" i="16"/>
  <c r="C71" i="16"/>
  <c r="M70" i="16"/>
  <c r="L70" i="16"/>
  <c r="K70" i="16"/>
  <c r="J70" i="16"/>
  <c r="I70" i="16"/>
  <c r="G70" i="16"/>
  <c r="F70" i="16"/>
  <c r="E70" i="16"/>
  <c r="D70" i="16"/>
  <c r="C70" i="16"/>
  <c r="M56" i="16"/>
  <c r="L56" i="16"/>
  <c r="K56" i="16"/>
  <c r="J56" i="16"/>
  <c r="I56" i="16"/>
  <c r="H56" i="16"/>
  <c r="F56" i="16"/>
  <c r="E56" i="16"/>
  <c r="D56" i="16"/>
  <c r="C56" i="16"/>
  <c r="M54" i="16"/>
  <c r="L54" i="16"/>
  <c r="K54" i="16"/>
  <c r="J54" i="16"/>
  <c r="I54" i="16"/>
  <c r="H54" i="16"/>
  <c r="G54" i="16"/>
  <c r="E54" i="16"/>
  <c r="D54" i="16"/>
  <c r="C54" i="16"/>
  <c r="M52" i="16"/>
  <c r="L52" i="16"/>
  <c r="K52" i="16"/>
  <c r="J52" i="16"/>
  <c r="I52" i="16"/>
  <c r="H52" i="16"/>
  <c r="G52" i="16"/>
  <c r="E52" i="16"/>
  <c r="D52" i="16"/>
  <c r="C52" i="16"/>
  <c r="M53" i="16"/>
  <c r="L53" i="16"/>
  <c r="K53" i="16"/>
  <c r="J53" i="16"/>
  <c r="I53" i="16"/>
  <c r="H53" i="16"/>
  <c r="G53" i="16"/>
  <c r="E53" i="16"/>
  <c r="D53" i="16"/>
  <c r="C53" i="16"/>
  <c r="M50" i="16"/>
  <c r="L50" i="16"/>
  <c r="K50" i="16"/>
  <c r="J50" i="16"/>
  <c r="I50" i="16"/>
  <c r="H50" i="16"/>
  <c r="G50" i="16"/>
  <c r="E50" i="16"/>
  <c r="D50" i="16"/>
  <c r="C50" i="16"/>
  <c r="M49" i="16"/>
  <c r="L49" i="16"/>
  <c r="K49" i="16"/>
  <c r="J49" i="16"/>
  <c r="I49" i="16"/>
  <c r="H49" i="16"/>
  <c r="G49" i="16"/>
  <c r="E49" i="16"/>
  <c r="D49" i="16"/>
  <c r="C49" i="16"/>
  <c r="M48" i="16"/>
  <c r="L48" i="16"/>
  <c r="K48" i="16"/>
  <c r="J48" i="16"/>
  <c r="I48" i="16"/>
  <c r="H48" i="16"/>
  <c r="G48" i="16"/>
  <c r="E48" i="16"/>
  <c r="D48" i="16"/>
  <c r="C48" i="16"/>
  <c r="M47" i="16"/>
  <c r="L47" i="16"/>
  <c r="K47" i="16"/>
  <c r="J47" i="16"/>
  <c r="I47" i="16"/>
  <c r="H47" i="16"/>
  <c r="G47" i="16"/>
  <c r="E47" i="16"/>
  <c r="D47" i="16"/>
  <c r="C47" i="16"/>
  <c r="M46" i="16"/>
  <c r="L46" i="16"/>
  <c r="K46" i="16"/>
  <c r="J46" i="16"/>
  <c r="I46" i="16"/>
  <c r="H46" i="16"/>
  <c r="G46" i="16"/>
  <c r="E46" i="16"/>
  <c r="D46" i="16"/>
  <c r="C46" i="16"/>
  <c r="M45" i="16"/>
  <c r="L45" i="16"/>
  <c r="K45" i="16"/>
  <c r="J45" i="16"/>
  <c r="I45" i="16"/>
  <c r="H45" i="16"/>
  <c r="G45" i="16"/>
  <c r="E45" i="16"/>
  <c r="D45" i="16"/>
  <c r="C45" i="16"/>
  <c r="M44" i="16"/>
  <c r="L44" i="16"/>
  <c r="K44" i="16"/>
  <c r="J44" i="16"/>
  <c r="I44" i="16"/>
  <c r="H44" i="16"/>
  <c r="G44" i="16"/>
  <c r="E44" i="16"/>
  <c r="D44" i="16"/>
  <c r="C44" i="16"/>
  <c r="M43" i="16"/>
  <c r="L43" i="16"/>
  <c r="K43" i="16"/>
  <c r="J43" i="16"/>
  <c r="I43" i="16"/>
  <c r="H43" i="16"/>
  <c r="G43" i="16"/>
  <c r="E43" i="16"/>
  <c r="D43" i="16"/>
  <c r="C43" i="16"/>
  <c r="M42" i="16"/>
  <c r="L42" i="16"/>
  <c r="K42" i="16"/>
  <c r="J42" i="16"/>
  <c r="I42" i="16"/>
  <c r="H42" i="16"/>
  <c r="G42" i="16"/>
  <c r="E42" i="16"/>
  <c r="D42" i="16"/>
  <c r="C42" i="16"/>
  <c r="M41" i="16"/>
  <c r="L41" i="16"/>
  <c r="K41" i="16"/>
  <c r="J41" i="16"/>
  <c r="I41" i="16"/>
  <c r="H41" i="16"/>
  <c r="G41" i="16"/>
  <c r="E41" i="16"/>
  <c r="D41" i="16"/>
  <c r="C41" i="16"/>
  <c r="M40" i="16"/>
  <c r="L40" i="16"/>
  <c r="K40" i="16"/>
  <c r="J40" i="16"/>
  <c r="I40" i="16"/>
  <c r="H40" i="16"/>
  <c r="G40" i="16"/>
  <c r="E40" i="16"/>
  <c r="D40" i="16"/>
  <c r="C40" i="16"/>
  <c r="M39" i="16"/>
  <c r="L39" i="16"/>
  <c r="K39" i="16"/>
  <c r="J39" i="16"/>
  <c r="I39" i="16"/>
  <c r="H39" i="16"/>
  <c r="G39" i="16"/>
  <c r="E39" i="16"/>
  <c r="D39" i="16"/>
  <c r="C39" i="16"/>
  <c r="M38" i="16"/>
  <c r="L38" i="16"/>
  <c r="K38" i="16"/>
  <c r="J38" i="16"/>
  <c r="I38" i="16"/>
  <c r="H38" i="16"/>
  <c r="G38" i="16"/>
  <c r="E38" i="16"/>
  <c r="D38" i="16"/>
  <c r="C38" i="16"/>
  <c r="M37" i="16"/>
  <c r="L37" i="16"/>
  <c r="K37" i="16"/>
  <c r="J37" i="16"/>
  <c r="I37" i="16"/>
  <c r="H37" i="16"/>
  <c r="G37" i="16"/>
  <c r="E37" i="16"/>
  <c r="D37" i="16"/>
  <c r="C37" i="16"/>
  <c r="M35" i="16"/>
  <c r="L35" i="16"/>
  <c r="K35" i="16"/>
  <c r="J35" i="16"/>
  <c r="I35" i="16"/>
  <c r="H35" i="16"/>
  <c r="G35" i="16"/>
  <c r="E35" i="16"/>
  <c r="D35" i="16"/>
  <c r="C35" i="16"/>
  <c r="M34" i="16"/>
  <c r="L34" i="16"/>
  <c r="K34" i="16"/>
  <c r="J34" i="16"/>
  <c r="I34" i="16"/>
  <c r="H34" i="16"/>
  <c r="G34" i="16"/>
  <c r="E34" i="16"/>
  <c r="D34" i="16"/>
  <c r="C34" i="16"/>
  <c r="M33" i="16"/>
  <c r="L33" i="16"/>
  <c r="K33" i="16"/>
  <c r="J33" i="16"/>
  <c r="I33" i="16"/>
  <c r="H33" i="16"/>
  <c r="G33" i="16"/>
  <c r="E33" i="16"/>
  <c r="D33" i="16"/>
  <c r="C33" i="16"/>
  <c r="M32" i="16"/>
  <c r="L32" i="16"/>
  <c r="K32" i="16"/>
  <c r="J32" i="16"/>
  <c r="I32" i="16"/>
  <c r="H32" i="16"/>
  <c r="G32" i="16"/>
  <c r="E32" i="16"/>
  <c r="D32" i="16"/>
  <c r="C32" i="16"/>
  <c r="M31" i="16"/>
  <c r="L31" i="16"/>
  <c r="K31" i="16"/>
  <c r="J31" i="16"/>
  <c r="I31" i="16"/>
  <c r="H31" i="16"/>
  <c r="G31" i="16"/>
  <c r="E31" i="16"/>
  <c r="D31" i="16"/>
  <c r="C31" i="16"/>
  <c r="M30" i="16"/>
  <c r="L30" i="16"/>
  <c r="K30" i="16"/>
  <c r="J30" i="16"/>
  <c r="I30" i="16"/>
  <c r="H30" i="16"/>
  <c r="G30" i="16"/>
  <c r="E30" i="16"/>
  <c r="D30" i="16"/>
  <c r="C30" i="16"/>
  <c r="M29" i="16"/>
  <c r="L29" i="16"/>
  <c r="K29" i="16"/>
  <c r="J29" i="16"/>
  <c r="I29" i="16"/>
  <c r="H29" i="16"/>
  <c r="G29" i="16"/>
  <c r="E29" i="16"/>
  <c r="D29" i="16"/>
  <c r="C29" i="16"/>
  <c r="M27" i="16"/>
  <c r="L27" i="16"/>
  <c r="K27" i="16"/>
  <c r="J27" i="16"/>
  <c r="I27" i="16"/>
  <c r="H27" i="16"/>
  <c r="G27" i="16"/>
  <c r="F27" i="16"/>
  <c r="D27" i="16"/>
  <c r="C27" i="16"/>
  <c r="M26" i="16"/>
  <c r="L26" i="16"/>
  <c r="K26" i="16"/>
  <c r="J26" i="16"/>
  <c r="I26" i="16"/>
  <c r="H26" i="16"/>
  <c r="G26" i="16"/>
  <c r="F26" i="16"/>
  <c r="D26" i="16"/>
  <c r="C26" i="16"/>
  <c r="M25" i="16"/>
  <c r="L25" i="16"/>
  <c r="K25" i="16"/>
  <c r="J25" i="16"/>
  <c r="I25" i="16"/>
  <c r="H25" i="16"/>
  <c r="G25" i="16"/>
  <c r="F25" i="16"/>
  <c r="E25" i="16"/>
  <c r="D25" i="16"/>
  <c r="C25" i="16"/>
  <c r="M24" i="16"/>
  <c r="L24" i="16"/>
  <c r="K24" i="16"/>
  <c r="J24" i="16"/>
  <c r="I24" i="16"/>
  <c r="H24" i="16"/>
  <c r="G24" i="16"/>
  <c r="F24" i="16"/>
  <c r="E24" i="16"/>
  <c r="C24" i="16"/>
  <c r="M23" i="16"/>
  <c r="L23" i="16"/>
  <c r="K23" i="16"/>
  <c r="J23" i="16"/>
  <c r="I23" i="16"/>
  <c r="H23" i="16"/>
  <c r="G23" i="16"/>
  <c r="F23" i="16"/>
  <c r="E23" i="16"/>
  <c r="C23" i="16"/>
  <c r="M21" i="16"/>
  <c r="L21" i="16"/>
  <c r="K21" i="16"/>
  <c r="J21" i="16"/>
  <c r="I21" i="16"/>
  <c r="H21" i="16"/>
  <c r="G21" i="16"/>
  <c r="F21" i="16"/>
  <c r="E21" i="16"/>
  <c r="D21" i="16"/>
  <c r="M20" i="16"/>
  <c r="L20" i="16"/>
  <c r="K20" i="16"/>
  <c r="J20" i="16"/>
  <c r="I20" i="16"/>
  <c r="H20" i="16"/>
  <c r="G20" i="16"/>
  <c r="F20" i="16"/>
  <c r="E20" i="16"/>
  <c r="D20" i="16"/>
  <c r="M19" i="16"/>
  <c r="L19" i="16"/>
  <c r="K19" i="16"/>
  <c r="J19" i="16"/>
  <c r="I19" i="16"/>
  <c r="H19" i="16"/>
  <c r="G19" i="16"/>
  <c r="F19" i="16"/>
  <c r="E19" i="16"/>
  <c r="D19" i="16"/>
  <c r="M18" i="16"/>
  <c r="L18" i="16"/>
  <c r="K18" i="16"/>
  <c r="J18" i="16"/>
  <c r="I18" i="16"/>
  <c r="H18" i="16"/>
  <c r="G18" i="16"/>
  <c r="F18" i="16"/>
  <c r="E18" i="16"/>
  <c r="D18" i="16"/>
  <c r="M17" i="16"/>
  <c r="L17" i="16"/>
  <c r="K17" i="16"/>
  <c r="J17" i="16"/>
  <c r="I17" i="16"/>
  <c r="H17" i="16"/>
  <c r="G17" i="16"/>
  <c r="F17" i="16"/>
  <c r="E17" i="16"/>
  <c r="D17" i="16"/>
  <c r="M16" i="16"/>
  <c r="L16" i="16"/>
  <c r="K16" i="16"/>
  <c r="J16" i="16"/>
  <c r="I16" i="16"/>
  <c r="H16" i="16"/>
  <c r="G16" i="16"/>
  <c r="F16" i="16"/>
  <c r="E16" i="16"/>
  <c r="D16" i="16"/>
  <c r="M15" i="16"/>
  <c r="L15" i="16"/>
  <c r="K15" i="16"/>
  <c r="J15" i="16"/>
  <c r="I15" i="16"/>
  <c r="H15" i="16"/>
  <c r="G15" i="16"/>
  <c r="F15" i="16"/>
  <c r="E15" i="16"/>
  <c r="D15" i="16"/>
  <c r="M14" i="16"/>
  <c r="L14" i="16"/>
  <c r="K14" i="16"/>
  <c r="J14" i="16"/>
  <c r="I14" i="16"/>
  <c r="H14" i="16"/>
  <c r="G14" i="16"/>
  <c r="F14" i="16"/>
  <c r="E14" i="16"/>
  <c r="D14" i="16"/>
  <c r="M13" i="16"/>
  <c r="L13" i="16"/>
  <c r="K13" i="16"/>
  <c r="J13" i="16"/>
  <c r="I13" i="16"/>
  <c r="H13" i="16"/>
  <c r="G13" i="16"/>
  <c r="F13" i="16"/>
  <c r="E13" i="16"/>
  <c r="D13" i="16"/>
  <c r="M12" i="16"/>
  <c r="L12" i="16"/>
  <c r="K12" i="16"/>
  <c r="J12" i="16"/>
  <c r="I12" i="16"/>
  <c r="H12" i="16"/>
  <c r="G12" i="16"/>
  <c r="F12" i="16"/>
  <c r="E12" i="16"/>
  <c r="D12" i="16"/>
  <c r="N10" i="16"/>
  <c r="I10" i="16"/>
  <c r="D10" i="16"/>
  <c r="A10" i="16"/>
  <c r="N8" i="16"/>
  <c r="I8" i="16"/>
  <c r="D8" i="16"/>
  <c r="P7" i="17" l="1"/>
  <c r="A14" i="11" l="1"/>
  <c r="F72" i="7" l="1"/>
  <c r="F71" i="7"/>
  <c r="K115" i="11" l="1"/>
  <c r="L115" i="11"/>
  <c r="M115" i="11"/>
  <c r="N115" i="11"/>
  <c r="O115" i="11"/>
  <c r="P115" i="11"/>
  <c r="Q115" i="11"/>
  <c r="R115" i="11"/>
  <c r="S115" i="11"/>
  <c r="T115" i="11"/>
  <c r="D115" i="11"/>
  <c r="E115" i="11"/>
  <c r="F115" i="11"/>
  <c r="G115" i="11"/>
  <c r="H115" i="11"/>
  <c r="I115" i="11"/>
  <c r="U115" i="11"/>
  <c r="V115" i="11"/>
  <c r="F290" i="7" l="1"/>
  <c r="J72" i="11" l="1"/>
  <c r="K72" i="11"/>
  <c r="L72" i="11"/>
  <c r="M72" i="11"/>
  <c r="N72" i="11"/>
  <c r="O72" i="11"/>
  <c r="P72" i="11"/>
  <c r="Q72" i="11"/>
  <c r="R72" i="11"/>
  <c r="S72" i="11"/>
  <c r="T72" i="11"/>
  <c r="D72" i="11"/>
  <c r="E72" i="11"/>
  <c r="F72" i="11"/>
  <c r="G72" i="11"/>
  <c r="H72" i="11"/>
  <c r="U72" i="11"/>
  <c r="V72" i="11"/>
  <c r="R200" i="11" l="1"/>
  <c r="R201" i="11"/>
  <c r="R202" i="11"/>
  <c r="R203" i="11"/>
  <c r="R204" i="11"/>
  <c r="R215" i="11" l="1"/>
  <c r="S215" i="11"/>
  <c r="T215" i="11"/>
  <c r="U215" i="11"/>
  <c r="V215" i="11"/>
  <c r="R216" i="11"/>
  <c r="S216" i="11"/>
  <c r="T216" i="11"/>
  <c r="U216" i="11"/>
  <c r="V216" i="11"/>
  <c r="S214" i="11"/>
  <c r="T214" i="11"/>
  <c r="U214" i="11"/>
  <c r="V214" i="11"/>
  <c r="S204" i="11"/>
  <c r="T204" i="11"/>
  <c r="S200" i="11"/>
  <c r="T200" i="11"/>
  <c r="S201" i="11"/>
  <c r="T201" i="11"/>
  <c r="S202" i="11"/>
  <c r="T202" i="11"/>
  <c r="S203" i="11"/>
  <c r="T203" i="11"/>
  <c r="AK39" i="3" l="1"/>
  <c r="AK23" i="3"/>
  <c r="AK7" i="3"/>
  <c r="W3" i="3" l="1"/>
  <c r="D52" i="11" l="1"/>
  <c r="E52" i="11"/>
  <c r="F52" i="11"/>
  <c r="G52" i="11"/>
  <c r="I52" i="11"/>
  <c r="J52" i="11"/>
  <c r="K52" i="11"/>
  <c r="L52" i="11"/>
  <c r="M52" i="11"/>
  <c r="N52" i="11"/>
  <c r="O52" i="11"/>
  <c r="P52" i="11"/>
  <c r="Q52" i="11"/>
  <c r="R52" i="11"/>
  <c r="S52" i="11"/>
  <c r="T52" i="11"/>
  <c r="U52" i="11"/>
  <c r="V52" i="11"/>
  <c r="D214" i="11"/>
  <c r="E214" i="11"/>
  <c r="F214" i="11"/>
  <c r="G214" i="11"/>
  <c r="H214" i="11"/>
  <c r="I214" i="11"/>
  <c r="J214" i="11"/>
  <c r="K214" i="11"/>
  <c r="L214" i="11"/>
  <c r="M214" i="11"/>
  <c r="D215" i="11"/>
  <c r="E215" i="11"/>
  <c r="F215" i="11"/>
  <c r="G215" i="11"/>
  <c r="H215" i="11"/>
  <c r="I215" i="11"/>
  <c r="J215" i="11"/>
  <c r="K215" i="11"/>
  <c r="L215" i="11"/>
  <c r="M215" i="11"/>
  <c r="P17" i="11" l="1"/>
  <c r="P20" i="11"/>
  <c r="P21" i="11"/>
  <c r="P22" i="11"/>
  <c r="P23" i="11"/>
  <c r="P24" i="11"/>
  <c r="P25" i="11"/>
  <c r="P26" i="11"/>
  <c r="P27" i="11"/>
  <c r="P28" i="11"/>
  <c r="P29" i="11"/>
  <c r="P30" i="11"/>
  <c r="P32" i="11"/>
  <c r="P35" i="11"/>
  <c r="P37" i="11"/>
  <c r="P38" i="11"/>
  <c r="P39" i="11"/>
  <c r="P40" i="11"/>
  <c r="P41" i="11"/>
  <c r="P42" i="11"/>
  <c r="P44" i="11"/>
  <c r="P45" i="11"/>
  <c r="P46" i="11"/>
  <c r="P47" i="11"/>
  <c r="P48" i="11"/>
  <c r="P50" i="11"/>
  <c r="P51" i="11"/>
  <c r="P53" i="11"/>
  <c r="P54" i="11"/>
  <c r="P55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4" i="11"/>
  <c r="P75" i="11"/>
  <c r="P76" i="11"/>
  <c r="P77" i="11"/>
  <c r="P78" i="11"/>
  <c r="P79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108" i="11"/>
  <c r="P109" i="11"/>
  <c r="P111" i="11"/>
  <c r="P113" i="11"/>
  <c r="P116" i="11"/>
  <c r="P118" i="11"/>
  <c r="P120" i="11"/>
  <c r="P121" i="11"/>
  <c r="P122" i="11"/>
  <c r="P123" i="11"/>
  <c r="P124" i="11"/>
  <c r="P125" i="11"/>
  <c r="P126" i="11"/>
  <c r="P127" i="11"/>
  <c r="P128" i="11"/>
  <c r="P129" i="11"/>
  <c r="P130" i="11"/>
  <c r="P131" i="11"/>
  <c r="P132" i="11"/>
  <c r="P133" i="11"/>
  <c r="P134" i="11"/>
  <c r="P139" i="11"/>
  <c r="P141" i="11"/>
  <c r="P142" i="11"/>
  <c r="P143" i="11"/>
  <c r="P144" i="11"/>
  <c r="P145" i="11"/>
  <c r="P146" i="11"/>
  <c r="P147" i="11"/>
  <c r="P148" i="11"/>
  <c r="P149" i="11"/>
  <c r="P150" i="11"/>
  <c r="P151" i="11"/>
  <c r="P152" i="11"/>
  <c r="P153" i="11"/>
  <c r="P154" i="11"/>
  <c r="P155" i="11"/>
  <c r="P156" i="11"/>
  <c r="P157" i="11"/>
  <c r="P158" i="11"/>
  <c r="P159" i="11"/>
  <c r="P160" i="11"/>
  <c r="P161" i="11"/>
  <c r="P162" i="11"/>
  <c r="P163" i="11"/>
  <c r="P164" i="11"/>
  <c r="P165" i="11"/>
  <c r="P166" i="11"/>
  <c r="P167" i="11"/>
  <c r="P168" i="11"/>
  <c r="P169" i="11"/>
  <c r="P170" i="11"/>
  <c r="P171" i="11"/>
  <c r="P176" i="11"/>
  <c r="P177" i="11"/>
  <c r="P178" i="11"/>
  <c r="P179" i="11"/>
  <c r="P180" i="11"/>
  <c r="P181" i="11"/>
  <c r="P182" i="11"/>
  <c r="P183" i="11"/>
  <c r="P184" i="11"/>
  <c r="P185" i="11"/>
  <c r="P186" i="11"/>
  <c r="P187" i="11"/>
  <c r="P188" i="11"/>
  <c r="P189" i="11"/>
  <c r="P192" i="11"/>
  <c r="P193" i="11"/>
  <c r="P194" i="11"/>
  <c r="P195" i="11"/>
  <c r="P196" i="11"/>
  <c r="P197" i="11"/>
  <c r="P198" i="11"/>
  <c r="P199" i="11"/>
  <c r="P200" i="11"/>
  <c r="P201" i="11"/>
  <c r="P202" i="11"/>
  <c r="P203" i="11"/>
  <c r="P204" i="11"/>
  <c r="P205" i="11"/>
  <c r="P206" i="11"/>
  <c r="P207" i="11"/>
  <c r="P208" i="11"/>
  <c r="P209" i="11"/>
  <c r="P210" i="11"/>
  <c r="P211" i="11"/>
  <c r="P212" i="11"/>
  <c r="P214" i="11"/>
  <c r="P215" i="11"/>
  <c r="P216" i="11"/>
  <c r="P16" i="11"/>
  <c r="D53" i="11"/>
  <c r="E53" i="11"/>
  <c r="F53" i="11"/>
  <c r="G53" i="11"/>
  <c r="I53" i="11"/>
  <c r="J53" i="11"/>
  <c r="K53" i="11"/>
  <c r="L53" i="11"/>
  <c r="M53" i="11"/>
  <c r="N53" i="11"/>
  <c r="O53" i="11"/>
  <c r="Q53" i="11"/>
  <c r="R53" i="11"/>
  <c r="S53" i="11"/>
  <c r="T53" i="11"/>
  <c r="U53" i="11"/>
  <c r="V53" i="11"/>
  <c r="O214" i="11" l="1"/>
  <c r="Q214" i="11"/>
  <c r="R214" i="11"/>
  <c r="Q215" i="11"/>
  <c r="N214" i="11"/>
  <c r="N215" i="11"/>
  <c r="O16" i="11"/>
  <c r="O17" i="11"/>
  <c r="O20" i="11"/>
  <c r="O21" i="11"/>
  <c r="O22" i="11"/>
  <c r="O23" i="11"/>
  <c r="O24" i="11"/>
  <c r="O25" i="11"/>
  <c r="O26" i="11"/>
  <c r="O27" i="11"/>
  <c r="O28" i="11"/>
  <c r="O29" i="11"/>
  <c r="O30" i="11"/>
  <c r="O32" i="11"/>
  <c r="O35" i="11"/>
  <c r="O37" i="11"/>
  <c r="O38" i="11"/>
  <c r="O39" i="11"/>
  <c r="O40" i="11"/>
  <c r="O41" i="11"/>
  <c r="O42" i="11"/>
  <c r="O44" i="11"/>
  <c r="O45" i="11"/>
  <c r="O46" i="11"/>
  <c r="O47" i="11"/>
  <c r="O48" i="11"/>
  <c r="O50" i="11"/>
  <c r="O51" i="11"/>
  <c r="O54" i="11"/>
  <c r="O55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69" i="11"/>
  <c r="O70" i="11"/>
  <c r="O71" i="11"/>
  <c r="O74" i="11"/>
  <c r="O75" i="11"/>
  <c r="O76" i="11"/>
  <c r="O77" i="11"/>
  <c r="O78" i="11"/>
  <c r="O79" i="11"/>
  <c r="O80" i="11"/>
  <c r="O81" i="11"/>
  <c r="O82" i="11"/>
  <c r="O83" i="11"/>
  <c r="O84" i="11"/>
  <c r="O85" i="11"/>
  <c r="O86" i="11"/>
  <c r="O87" i="11"/>
  <c r="O88" i="11"/>
  <c r="O89" i="11"/>
  <c r="O90" i="11"/>
  <c r="O91" i="11"/>
  <c r="O92" i="11"/>
  <c r="O93" i="11"/>
  <c r="O94" i="11"/>
  <c r="O95" i="11"/>
  <c r="O108" i="11"/>
  <c r="O109" i="11"/>
  <c r="O111" i="11"/>
  <c r="O113" i="11"/>
  <c r="O116" i="11"/>
  <c r="O118" i="11"/>
  <c r="O120" i="11"/>
  <c r="O121" i="11"/>
  <c r="O122" i="11"/>
  <c r="O123" i="11"/>
  <c r="O124" i="11"/>
  <c r="O125" i="11"/>
  <c r="O126" i="11"/>
  <c r="O127" i="11"/>
  <c r="O128" i="11"/>
  <c r="O129" i="11"/>
  <c r="O130" i="11"/>
  <c r="O131" i="11"/>
  <c r="O132" i="11"/>
  <c r="O133" i="11"/>
  <c r="O134" i="11"/>
  <c r="O139" i="11"/>
  <c r="O141" i="11"/>
  <c r="O142" i="11"/>
  <c r="O143" i="11"/>
  <c r="O144" i="11"/>
  <c r="O145" i="11"/>
  <c r="O146" i="11"/>
  <c r="O147" i="11"/>
  <c r="O148" i="11"/>
  <c r="O149" i="11"/>
  <c r="O150" i="11"/>
  <c r="O151" i="11"/>
  <c r="O152" i="11"/>
  <c r="O153" i="11"/>
  <c r="O154" i="11"/>
  <c r="O155" i="11"/>
  <c r="O156" i="11"/>
  <c r="O157" i="11"/>
  <c r="O158" i="11"/>
  <c r="O159" i="11"/>
  <c r="O160" i="11"/>
  <c r="O161" i="11"/>
  <c r="O162" i="11"/>
  <c r="O163" i="11"/>
  <c r="O164" i="11"/>
  <c r="O165" i="11"/>
  <c r="O166" i="11"/>
  <c r="O167" i="11"/>
  <c r="O168" i="11"/>
  <c r="O169" i="11"/>
  <c r="O170" i="11"/>
  <c r="O171" i="11"/>
  <c r="O176" i="11"/>
  <c r="O177" i="11"/>
  <c r="O178" i="11"/>
  <c r="O179" i="11"/>
  <c r="O180" i="11"/>
  <c r="O181" i="11"/>
  <c r="O182" i="11"/>
  <c r="O183" i="11"/>
  <c r="O184" i="11"/>
  <c r="O185" i="11"/>
  <c r="O186" i="11"/>
  <c r="O187" i="11"/>
  <c r="O188" i="11"/>
  <c r="O189" i="11"/>
  <c r="O192" i="11"/>
  <c r="O193" i="11"/>
  <c r="O194" i="11"/>
  <c r="O195" i="11"/>
  <c r="O196" i="11"/>
  <c r="O197" i="11"/>
  <c r="O198" i="11"/>
  <c r="O199" i="11"/>
  <c r="O200" i="11"/>
  <c r="O201" i="11"/>
  <c r="O202" i="11"/>
  <c r="O203" i="11"/>
  <c r="O204" i="11"/>
  <c r="O205" i="11"/>
  <c r="O206" i="11"/>
  <c r="O207" i="11"/>
  <c r="O208" i="11"/>
  <c r="O209" i="11"/>
  <c r="O210" i="11"/>
  <c r="O211" i="11"/>
  <c r="O212" i="11"/>
  <c r="O217" i="11"/>
  <c r="J114" i="7" l="1"/>
  <c r="G285" i="7" l="1"/>
  <c r="G284" i="7"/>
  <c r="H284" i="7" s="1"/>
  <c r="I284" i="7" s="1"/>
  <c r="J284" i="7"/>
  <c r="J285" i="7"/>
  <c r="H285" i="7"/>
  <c r="I285" i="7" s="1"/>
  <c r="K150" i="7"/>
  <c r="J150" i="7"/>
  <c r="I150" i="7"/>
  <c r="H150" i="7"/>
  <c r="G150" i="7"/>
  <c r="F150" i="7"/>
  <c r="E150" i="7"/>
  <c r="N39" i="5"/>
  <c r="M39" i="5"/>
  <c r="L39" i="5"/>
  <c r="J39" i="5"/>
  <c r="F38" i="7"/>
  <c r="H38" i="7" s="1"/>
  <c r="J38" i="7" s="1"/>
  <c r="E38" i="7"/>
  <c r="G38" i="7" s="1"/>
  <c r="I38" i="7" s="1"/>
  <c r="E25" i="7"/>
  <c r="F25" i="7" s="1"/>
  <c r="G25" i="7" s="1"/>
  <c r="H25" i="7" s="1"/>
  <c r="I25" i="7" s="1"/>
  <c r="J25" i="7" s="1"/>
  <c r="E120" i="7" l="1"/>
  <c r="E121" i="7"/>
  <c r="E122" i="7"/>
  <c r="E123" i="7"/>
  <c r="E124" i="7"/>
  <c r="F69" i="7"/>
  <c r="D17" i="7"/>
  <c r="G120" i="7" l="1"/>
  <c r="J120" i="7"/>
  <c r="H114" i="7"/>
  <c r="H120" i="7" s="1"/>
  <c r="F114" i="7"/>
  <c r="F120" i="7" s="1"/>
  <c r="I114" i="7" l="1"/>
  <c r="I120" i="7" s="1"/>
  <c r="K114" i="7"/>
  <c r="K120" i="7" s="1"/>
  <c r="D217" i="11"/>
  <c r="E217" i="11"/>
  <c r="F217" i="11"/>
  <c r="G217" i="11"/>
  <c r="H217" i="11"/>
  <c r="I217" i="11"/>
  <c r="J217" i="11"/>
  <c r="K217" i="11"/>
  <c r="L217" i="11"/>
  <c r="M217" i="11"/>
  <c r="N217" i="11"/>
  <c r="Q217" i="11"/>
  <c r="R217" i="11"/>
  <c r="S217" i="11"/>
  <c r="T217" i="11"/>
  <c r="U217" i="11"/>
  <c r="V217" i="11"/>
  <c r="J96" i="7"/>
  <c r="H96" i="7" l="1"/>
  <c r="I96" i="7"/>
  <c r="C96" i="7"/>
  <c r="U17" i="11" l="1"/>
  <c r="V17" i="11"/>
  <c r="U20" i="11"/>
  <c r="V20" i="11"/>
  <c r="U21" i="11"/>
  <c r="V21" i="11"/>
  <c r="U22" i="11"/>
  <c r="V22" i="11"/>
  <c r="U23" i="11"/>
  <c r="V23" i="11"/>
  <c r="U24" i="11"/>
  <c r="V24" i="11"/>
  <c r="U25" i="11"/>
  <c r="V25" i="11"/>
  <c r="U26" i="11"/>
  <c r="V26" i="11"/>
  <c r="U27" i="11"/>
  <c r="V27" i="11"/>
  <c r="U28" i="11"/>
  <c r="V28" i="11"/>
  <c r="U30" i="11"/>
  <c r="V30" i="11"/>
  <c r="U32" i="11"/>
  <c r="V32" i="11"/>
  <c r="U35" i="11"/>
  <c r="V35" i="11"/>
  <c r="U37" i="11"/>
  <c r="V37" i="11"/>
  <c r="U38" i="11"/>
  <c r="V38" i="11"/>
  <c r="U39" i="11"/>
  <c r="V39" i="11"/>
  <c r="U40" i="11"/>
  <c r="V40" i="11"/>
  <c r="U41" i="11"/>
  <c r="V41" i="11"/>
  <c r="U42" i="11"/>
  <c r="V42" i="11"/>
  <c r="U44" i="11"/>
  <c r="V44" i="11"/>
  <c r="U45" i="11"/>
  <c r="V45" i="11"/>
  <c r="U46" i="11"/>
  <c r="V46" i="11"/>
  <c r="U47" i="11"/>
  <c r="V47" i="11"/>
  <c r="U48" i="11"/>
  <c r="V48" i="11"/>
  <c r="U50" i="11"/>
  <c r="V50" i="11"/>
  <c r="U51" i="11"/>
  <c r="V51" i="11"/>
  <c r="U54" i="11"/>
  <c r="V54" i="11"/>
  <c r="U55" i="11"/>
  <c r="V55" i="11"/>
  <c r="U57" i="11"/>
  <c r="V57" i="11"/>
  <c r="U58" i="11"/>
  <c r="V58" i="11"/>
  <c r="U59" i="11"/>
  <c r="V59" i="11"/>
  <c r="U60" i="11"/>
  <c r="V60" i="11"/>
  <c r="U61" i="11"/>
  <c r="V61" i="11"/>
  <c r="U62" i="11"/>
  <c r="V62" i="11"/>
  <c r="U63" i="11"/>
  <c r="V63" i="11"/>
  <c r="U64" i="11"/>
  <c r="V64" i="11"/>
  <c r="U65" i="11"/>
  <c r="V65" i="11"/>
  <c r="U66" i="11"/>
  <c r="V66" i="11"/>
  <c r="U67" i="11"/>
  <c r="V67" i="11"/>
  <c r="U68" i="11"/>
  <c r="V68" i="11"/>
  <c r="U69" i="11"/>
  <c r="V69" i="11"/>
  <c r="U70" i="11"/>
  <c r="V70" i="11"/>
  <c r="U71" i="11"/>
  <c r="V71" i="11"/>
  <c r="U74" i="11"/>
  <c r="V74" i="11"/>
  <c r="U75" i="11"/>
  <c r="V75" i="11"/>
  <c r="U76" i="11"/>
  <c r="V76" i="11"/>
  <c r="U77" i="11"/>
  <c r="V77" i="11"/>
  <c r="U78" i="11"/>
  <c r="V78" i="11"/>
  <c r="U79" i="11"/>
  <c r="V79" i="11"/>
  <c r="U80" i="11"/>
  <c r="V80" i="11"/>
  <c r="U81" i="11"/>
  <c r="V81" i="11"/>
  <c r="U82" i="11"/>
  <c r="V82" i="11"/>
  <c r="U83" i="11"/>
  <c r="V83" i="11"/>
  <c r="U84" i="11"/>
  <c r="V84" i="11"/>
  <c r="U85" i="11"/>
  <c r="V85" i="11"/>
  <c r="U86" i="11"/>
  <c r="V86" i="11"/>
  <c r="U87" i="11"/>
  <c r="V87" i="11"/>
  <c r="U88" i="11"/>
  <c r="V88" i="11"/>
  <c r="U89" i="11"/>
  <c r="V89" i="11"/>
  <c r="U90" i="11"/>
  <c r="V90" i="11"/>
  <c r="U91" i="11"/>
  <c r="V91" i="11"/>
  <c r="U92" i="11"/>
  <c r="V92" i="11"/>
  <c r="U93" i="11"/>
  <c r="V93" i="11"/>
  <c r="U94" i="11"/>
  <c r="V94" i="11"/>
  <c r="U95" i="11"/>
  <c r="V95" i="11"/>
  <c r="U108" i="11"/>
  <c r="V108" i="11"/>
  <c r="U109" i="11"/>
  <c r="V109" i="11"/>
  <c r="U111" i="11"/>
  <c r="V111" i="11"/>
  <c r="U113" i="11"/>
  <c r="V113" i="11"/>
  <c r="U116" i="11"/>
  <c r="V116" i="11"/>
  <c r="U118" i="11"/>
  <c r="V118" i="11"/>
  <c r="U120" i="11"/>
  <c r="V120" i="11"/>
  <c r="U121" i="11"/>
  <c r="V121" i="11"/>
  <c r="U122" i="11"/>
  <c r="V122" i="11"/>
  <c r="U123" i="11"/>
  <c r="V123" i="11"/>
  <c r="U124" i="11"/>
  <c r="V124" i="11"/>
  <c r="U125" i="11"/>
  <c r="V125" i="11"/>
  <c r="U126" i="11"/>
  <c r="V126" i="11"/>
  <c r="U127" i="11"/>
  <c r="V127" i="11"/>
  <c r="U128" i="11"/>
  <c r="V128" i="11"/>
  <c r="U129" i="11"/>
  <c r="V129" i="11"/>
  <c r="U130" i="11"/>
  <c r="V130" i="11"/>
  <c r="U131" i="11"/>
  <c r="V131" i="11"/>
  <c r="U132" i="11"/>
  <c r="V132" i="11"/>
  <c r="U133" i="11"/>
  <c r="V133" i="11"/>
  <c r="U134" i="11"/>
  <c r="V134" i="11"/>
  <c r="U139" i="11"/>
  <c r="V139" i="11"/>
  <c r="U141" i="11"/>
  <c r="V141" i="11"/>
  <c r="U142" i="11"/>
  <c r="V142" i="11"/>
  <c r="U143" i="11"/>
  <c r="V143" i="11"/>
  <c r="U144" i="11"/>
  <c r="V144" i="11"/>
  <c r="U145" i="11"/>
  <c r="V145" i="11"/>
  <c r="U146" i="11"/>
  <c r="V146" i="11"/>
  <c r="U147" i="11"/>
  <c r="V147" i="11"/>
  <c r="U148" i="11"/>
  <c r="V148" i="11"/>
  <c r="U149" i="11"/>
  <c r="V149" i="11"/>
  <c r="U150" i="11"/>
  <c r="V150" i="11"/>
  <c r="U151" i="11"/>
  <c r="V151" i="11"/>
  <c r="U152" i="11"/>
  <c r="V152" i="11"/>
  <c r="U153" i="11"/>
  <c r="V153" i="11"/>
  <c r="U154" i="11"/>
  <c r="V154" i="11"/>
  <c r="U155" i="11"/>
  <c r="V155" i="11"/>
  <c r="U156" i="11"/>
  <c r="V156" i="11"/>
  <c r="U157" i="11"/>
  <c r="V157" i="11"/>
  <c r="U158" i="11"/>
  <c r="V158" i="11"/>
  <c r="U159" i="11"/>
  <c r="V159" i="11"/>
  <c r="U160" i="11"/>
  <c r="V160" i="11"/>
  <c r="U161" i="11"/>
  <c r="V161" i="11"/>
  <c r="U162" i="11"/>
  <c r="V162" i="11"/>
  <c r="U163" i="11"/>
  <c r="V163" i="11"/>
  <c r="U164" i="11"/>
  <c r="V164" i="11"/>
  <c r="U165" i="11"/>
  <c r="V165" i="11"/>
  <c r="U166" i="11"/>
  <c r="V166" i="11"/>
  <c r="U167" i="11"/>
  <c r="V167" i="11"/>
  <c r="U168" i="11"/>
  <c r="V168" i="11"/>
  <c r="U169" i="11"/>
  <c r="V169" i="11"/>
  <c r="U170" i="11"/>
  <c r="V170" i="11"/>
  <c r="U171" i="11"/>
  <c r="V171" i="11"/>
  <c r="U176" i="11"/>
  <c r="V176" i="11"/>
  <c r="U177" i="11"/>
  <c r="V177" i="11"/>
  <c r="U178" i="11"/>
  <c r="V178" i="11"/>
  <c r="U179" i="11"/>
  <c r="V179" i="11"/>
  <c r="U180" i="11"/>
  <c r="V180" i="11"/>
  <c r="U181" i="11"/>
  <c r="V181" i="11"/>
  <c r="U182" i="11"/>
  <c r="V182" i="11"/>
  <c r="U183" i="11"/>
  <c r="V183" i="11"/>
  <c r="U184" i="11"/>
  <c r="V184" i="11"/>
  <c r="U185" i="11"/>
  <c r="V185" i="11"/>
  <c r="U186" i="11"/>
  <c r="V186" i="11"/>
  <c r="U187" i="11"/>
  <c r="V187" i="11"/>
  <c r="U188" i="11"/>
  <c r="V188" i="11"/>
  <c r="U189" i="11"/>
  <c r="V189" i="11"/>
  <c r="U192" i="11"/>
  <c r="V192" i="11"/>
  <c r="U193" i="11"/>
  <c r="V193" i="11"/>
  <c r="U194" i="11"/>
  <c r="V194" i="11"/>
  <c r="U195" i="11"/>
  <c r="V195" i="11"/>
  <c r="U196" i="11"/>
  <c r="V196" i="11"/>
  <c r="U197" i="11"/>
  <c r="V197" i="11"/>
  <c r="U198" i="11"/>
  <c r="V198" i="11"/>
  <c r="U199" i="11"/>
  <c r="V199" i="11"/>
  <c r="U200" i="11"/>
  <c r="V200" i="11"/>
  <c r="U201" i="11"/>
  <c r="V201" i="11"/>
  <c r="U202" i="11"/>
  <c r="V202" i="11"/>
  <c r="U203" i="11"/>
  <c r="V203" i="11"/>
  <c r="U204" i="11"/>
  <c r="V204" i="11"/>
  <c r="U16" i="11"/>
  <c r="V16" i="11"/>
  <c r="N199" i="11"/>
  <c r="N200" i="11"/>
  <c r="N201" i="11"/>
  <c r="N202" i="11"/>
  <c r="N203" i="11"/>
  <c r="N204" i="11"/>
  <c r="N205" i="11"/>
  <c r="N206" i="11"/>
  <c r="N207" i="11"/>
  <c r="N208" i="11"/>
  <c r="N209" i="11"/>
  <c r="N210" i="11"/>
  <c r="N211" i="11"/>
  <c r="N212" i="11"/>
  <c r="N198" i="11"/>
  <c r="N193" i="11"/>
  <c r="M193" i="11"/>
  <c r="M194" i="11"/>
  <c r="M195" i="11"/>
  <c r="M196" i="11"/>
  <c r="M197" i="11"/>
  <c r="M198" i="11"/>
  <c r="M199" i="11"/>
  <c r="M200" i="11"/>
  <c r="M201" i="11"/>
  <c r="M202" i="11"/>
  <c r="M203" i="11"/>
  <c r="M204" i="11"/>
  <c r="M205" i="11"/>
  <c r="M206" i="11"/>
  <c r="M207" i="11"/>
  <c r="M208" i="11"/>
  <c r="M209" i="11"/>
  <c r="M210" i="11"/>
  <c r="M211" i="11"/>
  <c r="M212" i="11"/>
  <c r="M192" i="11"/>
  <c r="N177" i="11"/>
  <c r="N178" i="11"/>
  <c r="N179" i="11"/>
  <c r="N180" i="11"/>
  <c r="N181" i="11"/>
  <c r="N182" i="11"/>
  <c r="N183" i="11"/>
  <c r="N184" i="11"/>
  <c r="N185" i="11"/>
  <c r="N186" i="11"/>
  <c r="N187" i="11"/>
  <c r="N188" i="11"/>
  <c r="N189" i="11"/>
  <c r="N192" i="11"/>
  <c r="L177" i="11"/>
  <c r="L178" i="11"/>
  <c r="L179" i="11"/>
  <c r="L180" i="11"/>
  <c r="L181" i="11"/>
  <c r="L182" i="11"/>
  <c r="L183" i="11"/>
  <c r="L184" i="11"/>
  <c r="L185" i="11"/>
  <c r="L186" i="11"/>
  <c r="L187" i="11"/>
  <c r="L188" i="11"/>
  <c r="L189" i="11"/>
  <c r="L192" i="11"/>
  <c r="L193" i="11"/>
  <c r="L194" i="11"/>
  <c r="L195" i="11"/>
  <c r="L196" i="11"/>
  <c r="L197" i="11"/>
  <c r="L198" i="11"/>
  <c r="L199" i="11"/>
  <c r="L200" i="11"/>
  <c r="L201" i="11"/>
  <c r="L202" i="11"/>
  <c r="L203" i="11"/>
  <c r="L204" i="11"/>
  <c r="L205" i="11"/>
  <c r="L206" i="11"/>
  <c r="L207" i="11"/>
  <c r="L208" i="11"/>
  <c r="L209" i="11"/>
  <c r="L210" i="11"/>
  <c r="L211" i="11"/>
  <c r="L212" i="11"/>
  <c r="K176" i="11"/>
  <c r="K177" i="1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K206" i="11"/>
  <c r="K207" i="11"/>
  <c r="K208" i="11"/>
  <c r="K209" i="11"/>
  <c r="K210" i="11"/>
  <c r="K211" i="11"/>
  <c r="K212" i="11"/>
  <c r="M176" i="11"/>
  <c r="N176" i="11"/>
  <c r="L141" i="11"/>
  <c r="M141" i="11"/>
  <c r="N141" i="11"/>
  <c r="L142" i="11"/>
  <c r="M142" i="11"/>
  <c r="N142" i="11"/>
  <c r="L143" i="11"/>
  <c r="M143" i="11"/>
  <c r="N143" i="11"/>
  <c r="L144" i="11"/>
  <c r="M144" i="11"/>
  <c r="N144" i="11"/>
  <c r="L145" i="11"/>
  <c r="M145" i="11"/>
  <c r="N145" i="11"/>
  <c r="L146" i="11"/>
  <c r="M146" i="11"/>
  <c r="N146" i="11"/>
  <c r="L147" i="11"/>
  <c r="M147" i="11"/>
  <c r="N147" i="11"/>
  <c r="L148" i="11"/>
  <c r="M148" i="11"/>
  <c r="N148" i="11"/>
  <c r="L149" i="11"/>
  <c r="M149" i="11"/>
  <c r="N149" i="11"/>
  <c r="L150" i="11"/>
  <c r="M150" i="11"/>
  <c r="N150" i="11"/>
  <c r="L151" i="11"/>
  <c r="M151" i="11"/>
  <c r="N151" i="11"/>
  <c r="L152" i="11"/>
  <c r="M152" i="11"/>
  <c r="N152" i="11"/>
  <c r="L153" i="11"/>
  <c r="M153" i="11"/>
  <c r="N153" i="11"/>
  <c r="L154" i="11"/>
  <c r="M154" i="11"/>
  <c r="N154" i="11"/>
  <c r="L155" i="11"/>
  <c r="M155" i="11"/>
  <c r="N155" i="11"/>
  <c r="L156" i="11"/>
  <c r="M156" i="11"/>
  <c r="N156" i="11"/>
  <c r="L157" i="11"/>
  <c r="M157" i="11"/>
  <c r="N157" i="11"/>
  <c r="L158" i="11"/>
  <c r="M158" i="11"/>
  <c r="N158" i="11"/>
  <c r="L159" i="11"/>
  <c r="M159" i="11"/>
  <c r="N159" i="11"/>
  <c r="L160" i="11"/>
  <c r="M160" i="11"/>
  <c r="N160" i="11"/>
  <c r="L161" i="11"/>
  <c r="M161" i="11"/>
  <c r="N161" i="11"/>
  <c r="L162" i="11"/>
  <c r="M162" i="11"/>
  <c r="N162" i="11"/>
  <c r="L163" i="11"/>
  <c r="M163" i="11"/>
  <c r="N163" i="11"/>
  <c r="L164" i="11"/>
  <c r="M164" i="11"/>
  <c r="N164" i="11"/>
  <c r="L165" i="11"/>
  <c r="M165" i="11"/>
  <c r="N165" i="11"/>
  <c r="L166" i="11"/>
  <c r="M166" i="11"/>
  <c r="N166" i="11"/>
  <c r="L167" i="11"/>
  <c r="M167" i="11"/>
  <c r="N167" i="11"/>
  <c r="L168" i="11"/>
  <c r="M168" i="11"/>
  <c r="N168" i="11"/>
  <c r="L169" i="11"/>
  <c r="M169" i="11"/>
  <c r="N169" i="11"/>
  <c r="L170" i="11"/>
  <c r="M170" i="11"/>
  <c r="N170" i="11"/>
  <c r="L171" i="11"/>
  <c r="M171" i="11"/>
  <c r="N171" i="11"/>
  <c r="J141" i="11"/>
  <c r="J142" i="11"/>
  <c r="J143" i="11"/>
  <c r="J144" i="11"/>
  <c r="J145" i="11"/>
  <c r="J146" i="11"/>
  <c r="J147" i="11"/>
  <c r="J148" i="11"/>
  <c r="J149" i="11"/>
  <c r="J150" i="11"/>
  <c r="J151" i="11"/>
  <c r="J152" i="11"/>
  <c r="J153" i="11"/>
  <c r="J154" i="11"/>
  <c r="J155" i="11"/>
  <c r="J156" i="11"/>
  <c r="J157" i="11"/>
  <c r="J158" i="11"/>
  <c r="J159" i="11"/>
  <c r="J160" i="11"/>
  <c r="J161" i="11"/>
  <c r="J162" i="11"/>
  <c r="J163" i="11"/>
  <c r="J164" i="11"/>
  <c r="J165" i="11"/>
  <c r="J166" i="11"/>
  <c r="J167" i="11"/>
  <c r="J168" i="11"/>
  <c r="J169" i="11"/>
  <c r="J170" i="11"/>
  <c r="J171" i="11"/>
  <c r="J176" i="11"/>
  <c r="J177" i="11"/>
  <c r="J178" i="11"/>
  <c r="J179" i="11"/>
  <c r="J180" i="11"/>
  <c r="J181" i="11"/>
  <c r="J182" i="11"/>
  <c r="J183" i="11"/>
  <c r="J184" i="11"/>
  <c r="J185" i="11"/>
  <c r="J186" i="11"/>
  <c r="J187" i="11"/>
  <c r="J188" i="11"/>
  <c r="J189" i="11"/>
  <c r="J192" i="11"/>
  <c r="J193" i="11"/>
  <c r="J194" i="11"/>
  <c r="J195" i="11"/>
  <c r="J196" i="11"/>
  <c r="J197" i="11"/>
  <c r="J198" i="11"/>
  <c r="J199" i="11"/>
  <c r="J200" i="11"/>
  <c r="J201" i="11"/>
  <c r="J202" i="11"/>
  <c r="J203" i="11"/>
  <c r="J204" i="11"/>
  <c r="J205" i="11"/>
  <c r="J206" i="11"/>
  <c r="J207" i="11"/>
  <c r="J208" i="11"/>
  <c r="J209" i="11"/>
  <c r="J210" i="11"/>
  <c r="J211" i="11"/>
  <c r="J212" i="11"/>
  <c r="J139" i="11"/>
  <c r="K139" i="11"/>
  <c r="L139" i="11"/>
  <c r="M139" i="11"/>
  <c r="N139" i="11"/>
  <c r="K109" i="11"/>
  <c r="L109" i="11"/>
  <c r="M109" i="11"/>
  <c r="N109" i="11"/>
  <c r="K111" i="11"/>
  <c r="L111" i="11"/>
  <c r="M111" i="11"/>
  <c r="N111" i="11"/>
  <c r="K113" i="11"/>
  <c r="L113" i="11"/>
  <c r="M113" i="11"/>
  <c r="N113" i="11"/>
  <c r="K116" i="11"/>
  <c r="L116" i="11"/>
  <c r="M116" i="11"/>
  <c r="N116" i="11"/>
  <c r="K118" i="11"/>
  <c r="L118" i="11"/>
  <c r="M118" i="11"/>
  <c r="N118" i="11"/>
  <c r="K120" i="11"/>
  <c r="L120" i="11"/>
  <c r="M120" i="11"/>
  <c r="N120" i="11"/>
  <c r="K121" i="11"/>
  <c r="L121" i="11"/>
  <c r="M121" i="11"/>
  <c r="N121" i="11"/>
  <c r="K122" i="11"/>
  <c r="L122" i="11"/>
  <c r="M122" i="11"/>
  <c r="N122" i="11"/>
  <c r="K123" i="11"/>
  <c r="L123" i="11"/>
  <c r="M123" i="11"/>
  <c r="N123" i="11"/>
  <c r="K124" i="11"/>
  <c r="L124" i="11"/>
  <c r="M124" i="11"/>
  <c r="N124" i="11"/>
  <c r="K125" i="11"/>
  <c r="L125" i="11"/>
  <c r="M125" i="11"/>
  <c r="N125" i="11"/>
  <c r="K126" i="11"/>
  <c r="L126" i="11"/>
  <c r="M126" i="11"/>
  <c r="N126" i="11"/>
  <c r="K127" i="11"/>
  <c r="L127" i="11"/>
  <c r="M127" i="11"/>
  <c r="N127" i="11"/>
  <c r="K128" i="11"/>
  <c r="L128" i="11"/>
  <c r="M128" i="11"/>
  <c r="N128" i="11"/>
  <c r="K129" i="11"/>
  <c r="L129" i="11"/>
  <c r="M129" i="11"/>
  <c r="N129" i="11"/>
  <c r="K130" i="11"/>
  <c r="L130" i="11"/>
  <c r="M130" i="11"/>
  <c r="N130" i="11"/>
  <c r="K131" i="11"/>
  <c r="L131" i="11"/>
  <c r="M131" i="11"/>
  <c r="N131" i="11"/>
  <c r="K132" i="11"/>
  <c r="L132" i="11"/>
  <c r="M132" i="11"/>
  <c r="N132" i="11"/>
  <c r="K133" i="11"/>
  <c r="L133" i="11"/>
  <c r="M133" i="11"/>
  <c r="N133" i="11"/>
  <c r="K134" i="11"/>
  <c r="L134" i="11"/>
  <c r="M134" i="11"/>
  <c r="N134" i="11"/>
  <c r="I109" i="11"/>
  <c r="I111" i="11"/>
  <c r="I113" i="11"/>
  <c r="I116" i="11"/>
  <c r="I118" i="11"/>
  <c r="I120" i="11"/>
  <c r="I121" i="11"/>
  <c r="I122" i="11"/>
  <c r="I123" i="11"/>
  <c r="I124" i="11"/>
  <c r="I125" i="11"/>
  <c r="I126" i="11"/>
  <c r="I127" i="11"/>
  <c r="I128" i="11"/>
  <c r="I129" i="11"/>
  <c r="I130" i="11"/>
  <c r="I131" i="11"/>
  <c r="I132" i="11"/>
  <c r="I133" i="11"/>
  <c r="I134" i="11"/>
  <c r="I139" i="11"/>
  <c r="I141" i="11"/>
  <c r="I142" i="11"/>
  <c r="I143" i="11"/>
  <c r="I144" i="11"/>
  <c r="I145" i="11"/>
  <c r="I146" i="11"/>
  <c r="I147" i="11"/>
  <c r="I148" i="11"/>
  <c r="I149" i="11"/>
  <c r="I150" i="11"/>
  <c r="I151" i="11"/>
  <c r="I152" i="11"/>
  <c r="I153" i="11"/>
  <c r="I154" i="11"/>
  <c r="I155" i="11"/>
  <c r="I156" i="11"/>
  <c r="I157" i="11"/>
  <c r="I158" i="11"/>
  <c r="I159" i="11"/>
  <c r="I160" i="11"/>
  <c r="I161" i="11"/>
  <c r="I162" i="11"/>
  <c r="I163" i="11"/>
  <c r="I164" i="11"/>
  <c r="I165" i="11"/>
  <c r="I166" i="11"/>
  <c r="I167" i="11"/>
  <c r="I168" i="11"/>
  <c r="I169" i="11"/>
  <c r="I170" i="11"/>
  <c r="I171" i="11"/>
  <c r="I176" i="11"/>
  <c r="I177" i="11"/>
  <c r="I178" i="11"/>
  <c r="I179" i="11"/>
  <c r="I180" i="11"/>
  <c r="I181" i="11"/>
  <c r="I182" i="11"/>
  <c r="I183" i="11"/>
  <c r="I184" i="11"/>
  <c r="I185" i="11"/>
  <c r="I186" i="11"/>
  <c r="I187" i="11"/>
  <c r="I188" i="11"/>
  <c r="I189" i="11"/>
  <c r="I192" i="11"/>
  <c r="I193" i="11"/>
  <c r="I194" i="11"/>
  <c r="I195" i="11"/>
  <c r="I196" i="11"/>
  <c r="I197" i="11"/>
  <c r="I198" i="11"/>
  <c r="I199" i="11"/>
  <c r="I200" i="11"/>
  <c r="I201" i="11"/>
  <c r="I202" i="11"/>
  <c r="I203" i="11"/>
  <c r="I204" i="11"/>
  <c r="I205" i="11"/>
  <c r="I206" i="11"/>
  <c r="I207" i="11"/>
  <c r="I208" i="11"/>
  <c r="I209" i="11"/>
  <c r="I210" i="11"/>
  <c r="I211" i="11"/>
  <c r="I212" i="11"/>
  <c r="I108" i="11"/>
  <c r="J64" i="11"/>
  <c r="K64" i="11"/>
  <c r="L64" i="11"/>
  <c r="M64" i="11"/>
  <c r="N64" i="11"/>
  <c r="J65" i="11"/>
  <c r="K65" i="11"/>
  <c r="L65" i="11"/>
  <c r="M65" i="11"/>
  <c r="N65" i="11"/>
  <c r="J66" i="11"/>
  <c r="K66" i="11"/>
  <c r="L66" i="11"/>
  <c r="M66" i="11"/>
  <c r="N66" i="11"/>
  <c r="J67" i="11"/>
  <c r="K67" i="11"/>
  <c r="L67" i="11"/>
  <c r="M67" i="11"/>
  <c r="N67" i="11"/>
  <c r="J68" i="11"/>
  <c r="K68" i="11"/>
  <c r="L68" i="11"/>
  <c r="M68" i="11"/>
  <c r="N68" i="11"/>
  <c r="J69" i="11"/>
  <c r="K69" i="11"/>
  <c r="L69" i="11"/>
  <c r="M69" i="11"/>
  <c r="N69" i="11"/>
  <c r="J70" i="11"/>
  <c r="K70" i="11"/>
  <c r="L70" i="11"/>
  <c r="M70" i="11"/>
  <c r="N70" i="11"/>
  <c r="J71" i="11"/>
  <c r="K71" i="11"/>
  <c r="L71" i="11"/>
  <c r="M71" i="11"/>
  <c r="N71" i="11"/>
  <c r="J74" i="11"/>
  <c r="K74" i="11"/>
  <c r="L74" i="11"/>
  <c r="M74" i="11"/>
  <c r="N74" i="11"/>
  <c r="J75" i="11"/>
  <c r="K75" i="11"/>
  <c r="L75" i="11"/>
  <c r="M75" i="11"/>
  <c r="N75" i="11"/>
  <c r="J76" i="11"/>
  <c r="K76" i="11"/>
  <c r="L76" i="11"/>
  <c r="M76" i="11"/>
  <c r="N76" i="11"/>
  <c r="J77" i="11"/>
  <c r="K77" i="11"/>
  <c r="L77" i="11"/>
  <c r="M77" i="11"/>
  <c r="N77" i="11"/>
  <c r="J78" i="11"/>
  <c r="K78" i="11"/>
  <c r="L78" i="11"/>
  <c r="M78" i="11"/>
  <c r="N78" i="11"/>
  <c r="J79" i="11"/>
  <c r="K79" i="11"/>
  <c r="L79" i="11"/>
  <c r="M79" i="11"/>
  <c r="N79" i="11"/>
  <c r="J80" i="11"/>
  <c r="K80" i="11"/>
  <c r="L80" i="11"/>
  <c r="M80" i="11"/>
  <c r="N80" i="11"/>
  <c r="J81" i="11"/>
  <c r="K81" i="11"/>
  <c r="L81" i="11"/>
  <c r="M81" i="11"/>
  <c r="N81" i="11"/>
  <c r="J82" i="11"/>
  <c r="K82" i="11"/>
  <c r="L82" i="11"/>
  <c r="M82" i="11"/>
  <c r="N82" i="11"/>
  <c r="J83" i="11"/>
  <c r="K83" i="11"/>
  <c r="L83" i="11"/>
  <c r="M83" i="11"/>
  <c r="N83" i="11"/>
  <c r="J84" i="11"/>
  <c r="K84" i="11"/>
  <c r="L84" i="11"/>
  <c r="M84" i="11"/>
  <c r="N84" i="11"/>
  <c r="J85" i="11"/>
  <c r="K85" i="11"/>
  <c r="L85" i="11"/>
  <c r="M85" i="11"/>
  <c r="N85" i="11"/>
  <c r="J86" i="11"/>
  <c r="K86" i="11"/>
  <c r="L86" i="11"/>
  <c r="M86" i="11"/>
  <c r="N86" i="11"/>
  <c r="J87" i="11"/>
  <c r="K87" i="11"/>
  <c r="L87" i="11"/>
  <c r="M87" i="11"/>
  <c r="N87" i="11"/>
  <c r="J88" i="11"/>
  <c r="K88" i="11"/>
  <c r="L88" i="11"/>
  <c r="M88" i="11"/>
  <c r="N88" i="11"/>
  <c r="J89" i="11"/>
  <c r="K89" i="11"/>
  <c r="L89" i="11"/>
  <c r="M89" i="11"/>
  <c r="N89" i="11"/>
  <c r="J90" i="11"/>
  <c r="K90" i="11"/>
  <c r="L90" i="11"/>
  <c r="M90" i="11"/>
  <c r="N90" i="11"/>
  <c r="J91" i="11"/>
  <c r="K91" i="11"/>
  <c r="L91" i="11"/>
  <c r="M91" i="11"/>
  <c r="N91" i="11"/>
  <c r="J92" i="11"/>
  <c r="K92" i="11"/>
  <c r="L92" i="11"/>
  <c r="M92" i="11"/>
  <c r="N92" i="11"/>
  <c r="J93" i="11"/>
  <c r="K93" i="11"/>
  <c r="L93" i="11"/>
  <c r="M93" i="11"/>
  <c r="N93" i="11"/>
  <c r="J94" i="11"/>
  <c r="K94" i="11"/>
  <c r="L94" i="11"/>
  <c r="M94" i="11"/>
  <c r="N94" i="11"/>
  <c r="J95" i="11"/>
  <c r="K95" i="11"/>
  <c r="L95" i="11"/>
  <c r="M95" i="11"/>
  <c r="N95" i="11"/>
  <c r="J108" i="11"/>
  <c r="K108" i="11"/>
  <c r="L108" i="11"/>
  <c r="M108" i="11"/>
  <c r="N108" i="11"/>
  <c r="H64" i="11"/>
  <c r="H65" i="11"/>
  <c r="H66" i="11"/>
  <c r="H67" i="11"/>
  <c r="H68" i="11"/>
  <c r="H69" i="11"/>
  <c r="H70" i="11"/>
  <c r="H71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108" i="11"/>
  <c r="H109" i="11"/>
  <c r="H111" i="11"/>
  <c r="H113" i="11"/>
  <c r="H116" i="11"/>
  <c r="H118" i="11"/>
  <c r="H120" i="11"/>
  <c r="H121" i="11"/>
  <c r="H122" i="11"/>
  <c r="H123" i="11"/>
  <c r="H124" i="11"/>
  <c r="H125" i="11"/>
  <c r="H126" i="11"/>
  <c r="H127" i="11"/>
  <c r="H128" i="11"/>
  <c r="H129" i="11"/>
  <c r="H130" i="11"/>
  <c r="H131" i="11"/>
  <c r="H132" i="11"/>
  <c r="H133" i="11"/>
  <c r="H134" i="11"/>
  <c r="H139" i="11"/>
  <c r="H141" i="11"/>
  <c r="H142" i="11"/>
  <c r="H143" i="11"/>
  <c r="H144" i="11"/>
  <c r="H145" i="11"/>
  <c r="H146" i="11"/>
  <c r="H147" i="11"/>
  <c r="H148" i="11"/>
  <c r="H149" i="11"/>
  <c r="H150" i="11"/>
  <c r="H151" i="11"/>
  <c r="H152" i="11"/>
  <c r="H153" i="11"/>
  <c r="H154" i="11"/>
  <c r="H155" i="11"/>
  <c r="H156" i="11"/>
  <c r="H157" i="11"/>
  <c r="H158" i="11"/>
  <c r="H159" i="11"/>
  <c r="H160" i="11"/>
  <c r="H161" i="11"/>
  <c r="H162" i="11"/>
  <c r="H163" i="11"/>
  <c r="H164" i="11"/>
  <c r="H165" i="11"/>
  <c r="H166" i="11"/>
  <c r="H167" i="11"/>
  <c r="H168" i="11"/>
  <c r="H169" i="11"/>
  <c r="H170" i="11"/>
  <c r="H171" i="11"/>
  <c r="H176" i="11"/>
  <c r="H177" i="11"/>
  <c r="H178" i="11"/>
  <c r="H179" i="11"/>
  <c r="H180" i="11"/>
  <c r="H181" i="11"/>
  <c r="H182" i="11"/>
  <c r="H183" i="11"/>
  <c r="H184" i="11"/>
  <c r="H185" i="11"/>
  <c r="H186" i="11"/>
  <c r="H187" i="11"/>
  <c r="H188" i="11"/>
  <c r="H189" i="11"/>
  <c r="H192" i="11"/>
  <c r="H193" i="11"/>
  <c r="H194" i="11"/>
  <c r="H195" i="11"/>
  <c r="H196" i="11"/>
  <c r="H197" i="11"/>
  <c r="H198" i="11"/>
  <c r="H199" i="11"/>
  <c r="H200" i="11"/>
  <c r="H201" i="11"/>
  <c r="H202" i="11"/>
  <c r="H203" i="11"/>
  <c r="H204" i="11"/>
  <c r="H205" i="11"/>
  <c r="H206" i="11"/>
  <c r="H207" i="11"/>
  <c r="H208" i="11"/>
  <c r="H209" i="11"/>
  <c r="H210" i="11"/>
  <c r="H211" i="11"/>
  <c r="H212" i="11"/>
  <c r="H63" i="11"/>
  <c r="I50" i="11"/>
  <c r="J50" i="11"/>
  <c r="K50" i="11"/>
  <c r="L50" i="11"/>
  <c r="M50" i="11"/>
  <c r="N50" i="11"/>
  <c r="I51" i="11"/>
  <c r="J51" i="11"/>
  <c r="K51" i="11"/>
  <c r="L51" i="11"/>
  <c r="M51" i="11"/>
  <c r="N51" i="11"/>
  <c r="I54" i="11"/>
  <c r="J54" i="11"/>
  <c r="K54" i="11"/>
  <c r="L54" i="11"/>
  <c r="M54" i="11"/>
  <c r="N54" i="11"/>
  <c r="I55" i="11"/>
  <c r="J55" i="11"/>
  <c r="K55" i="11"/>
  <c r="L55" i="11"/>
  <c r="M55" i="11"/>
  <c r="N55" i="11"/>
  <c r="I57" i="11"/>
  <c r="J57" i="11"/>
  <c r="K57" i="11"/>
  <c r="L57" i="11"/>
  <c r="M57" i="11"/>
  <c r="N57" i="11"/>
  <c r="I58" i="11"/>
  <c r="J58" i="11"/>
  <c r="K58" i="11"/>
  <c r="L58" i="11"/>
  <c r="M58" i="11"/>
  <c r="N58" i="11"/>
  <c r="I59" i="11"/>
  <c r="J59" i="11"/>
  <c r="K59" i="11"/>
  <c r="L59" i="11"/>
  <c r="M59" i="11"/>
  <c r="N59" i="11"/>
  <c r="I60" i="11"/>
  <c r="J60" i="11"/>
  <c r="K60" i="11"/>
  <c r="L60" i="11"/>
  <c r="M60" i="11"/>
  <c r="N60" i="11"/>
  <c r="I61" i="11"/>
  <c r="J61" i="11"/>
  <c r="K61" i="11"/>
  <c r="L61" i="11"/>
  <c r="M61" i="11"/>
  <c r="N61" i="11"/>
  <c r="I62" i="11"/>
  <c r="J62" i="11"/>
  <c r="K62" i="11"/>
  <c r="L62" i="11"/>
  <c r="M62" i="11"/>
  <c r="N62" i="11"/>
  <c r="I63" i="11"/>
  <c r="J63" i="11"/>
  <c r="K63" i="11"/>
  <c r="L63" i="11"/>
  <c r="M63" i="11"/>
  <c r="N63" i="11"/>
  <c r="G51" i="11"/>
  <c r="G54" i="11"/>
  <c r="G55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108" i="11"/>
  <c r="G109" i="11"/>
  <c r="G111" i="11"/>
  <c r="G113" i="11"/>
  <c r="G116" i="11"/>
  <c r="G118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9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50" i="11"/>
  <c r="F37" i="11"/>
  <c r="I41" i="11"/>
  <c r="J41" i="11"/>
  <c r="K41" i="11"/>
  <c r="L41" i="11"/>
  <c r="M41" i="11"/>
  <c r="N41" i="11"/>
  <c r="I42" i="11"/>
  <c r="J42" i="11"/>
  <c r="K42" i="11"/>
  <c r="L42" i="11"/>
  <c r="M42" i="11"/>
  <c r="N42" i="11"/>
  <c r="I44" i="11"/>
  <c r="J44" i="11"/>
  <c r="K44" i="11"/>
  <c r="L44" i="11"/>
  <c r="M44" i="11"/>
  <c r="N44" i="11"/>
  <c r="I45" i="11"/>
  <c r="J45" i="11"/>
  <c r="K45" i="11"/>
  <c r="L45" i="11"/>
  <c r="M45" i="11"/>
  <c r="N45" i="11"/>
  <c r="I46" i="11"/>
  <c r="J46" i="11"/>
  <c r="K46" i="11"/>
  <c r="L46" i="11"/>
  <c r="M46" i="11"/>
  <c r="N46" i="11"/>
  <c r="I47" i="11"/>
  <c r="J47" i="11"/>
  <c r="K47" i="11"/>
  <c r="L47" i="11"/>
  <c r="M47" i="11"/>
  <c r="N47" i="11"/>
  <c r="I48" i="11"/>
  <c r="J48" i="11"/>
  <c r="K48" i="11"/>
  <c r="L48" i="11"/>
  <c r="M48" i="11"/>
  <c r="N48" i="11"/>
  <c r="H42" i="11"/>
  <c r="H44" i="11"/>
  <c r="H45" i="11"/>
  <c r="H46" i="11"/>
  <c r="H47" i="11"/>
  <c r="H48" i="11"/>
  <c r="H37" i="11"/>
  <c r="I37" i="11"/>
  <c r="J37" i="11"/>
  <c r="K37" i="11"/>
  <c r="L37" i="11"/>
  <c r="M37" i="11"/>
  <c r="N37" i="11"/>
  <c r="H38" i="11"/>
  <c r="I38" i="11"/>
  <c r="J38" i="11"/>
  <c r="K38" i="11"/>
  <c r="L38" i="11"/>
  <c r="M38" i="11"/>
  <c r="N38" i="11"/>
  <c r="H39" i="11"/>
  <c r="I39" i="11"/>
  <c r="J39" i="11"/>
  <c r="K39" i="11"/>
  <c r="L39" i="11"/>
  <c r="M39" i="11"/>
  <c r="N39" i="11"/>
  <c r="H40" i="11"/>
  <c r="I40" i="11"/>
  <c r="J40" i="11"/>
  <c r="K40" i="11"/>
  <c r="L40" i="11"/>
  <c r="M40" i="11"/>
  <c r="N40" i="11"/>
  <c r="H41" i="11"/>
  <c r="G41" i="11"/>
  <c r="G37" i="11"/>
  <c r="G38" i="11"/>
  <c r="G39" i="11"/>
  <c r="G40" i="11"/>
  <c r="F42" i="11"/>
  <c r="F44" i="11"/>
  <c r="F45" i="11"/>
  <c r="F46" i="11"/>
  <c r="F47" i="11"/>
  <c r="F48" i="11"/>
  <c r="F50" i="11"/>
  <c r="F51" i="11"/>
  <c r="F54" i="11"/>
  <c r="F55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108" i="11"/>
  <c r="F109" i="11"/>
  <c r="F111" i="11"/>
  <c r="F113" i="11"/>
  <c r="F116" i="11"/>
  <c r="F118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9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41" i="11"/>
  <c r="E38" i="11"/>
  <c r="E39" i="11"/>
  <c r="E40" i="11"/>
  <c r="E41" i="11"/>
  <c r="E42" i="11"/>
  <c r="E44" i="11"/>
  <c r="E45" i="11"/>
  <c r="E46" i="11"/>
  <c r="E47" i="11"/>
  <c r="E48" i="11"/>
  <c r="E50" i="11"/>
  <c r="E51" i="11"/>
  <c r="E54" i="11"/>
  <c r="E55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108" i="11"/>
  <c r="E109" i="11"/>
  <c r="E111" i="11"/>
  <c r="E113" i="11"/>
  <c r="E116" i="11"/>
  <c r="E118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9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37" i="11"/>
  <c r="D30" i="11"/>
  <c r="D32" i="11"/>
  <c r="D35" i="11"/>
  <c r="D37" i="11"/>
  <c r="D38" i="11"/>
  <c r="D39" i="11"/>
  <c r="D40" i="11"/>
  <c r="D41" i="11"/>
  <c r="D42" i="11"/>
  <c r="D44" i="11"/>
  <c r="D45" i="11"/>
  <c r="D46" i="11"/>
  <c r="D47" i="11"/>
  <c r="D48" i="11"/>
  <c r="D50" i="11"/>
  <c r="D51" i="11"/>
  <c r="D54" i="11"/>
  <c r="D55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108" i="11"/>
  <c r="D109" i="11"/>
  <c r="D111" i="11"/>
  <c r="D113" i="11"/>
  <c r="D116" i="11"/>
  <c r="D118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9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F30" i="11"/>
  <c r="G30" i="11"/>
  <c r="H30" i="11"/>
  <c r="I30" i="11"/>
  <c r="J30" i="11"/>
  <c r="K30" i="11"/>
  <c r="L30" i="11"/>
  <c r="M30" i="11"/>
  <c r="N30" i="11"/>
  <c r="F32" i="11"/>
  <c r="G32" i="11"/>
  <c r="H32" i="11"/>
  <c r="I32" i="11"/>
  <c r="J32" i="11"/>
  <c r="K32" i="11"/>
  <c r="L32" i="11"/>
  <c r="M32" i="11"/>
  <c r="N32" i="11"/>
  <c r="F35" i="11"/>
  <c r="G35" i="11"/>
  <c r="H35" i="11"/>
  <c r="I35" i="11"/>
  <c r="J35" i="11"/>
  <c r="K35" i="11"/>
  <c r="L35" i="11"/>
  <c r="M35" i="11"/>
  <c r="N35" i="11"/>
  <c r="E16" i="11"/>
  <c r="F16" i="11"/>
  <c r="G16" i="11"/>
  <c r="I16" i="11"/>
  <c r="J16" i="11"/>
  <c r="K16" i="11"/>
  <c r="L16" i="11"/>
  <c r="M16" i="11"/>
  <c r="N16" i="11"/>
  <c r="E17" i="11"/>
  <c r="F17" i="11"/>
  <c r="G17" i="11"/>
  <c r="I17" i="11"/>
  <c r="J17" i="11"/>
  <c r="K17" i="11"/>
  <c r="L17" i="11"/>
  <c r="M17" i="11"/>
  <c r="N17" i="11"/>
  <c r="E20" i="11"/>
  <c r="F20" i="11"/>
  <c r="G20" i="11"/>
  <c r="H20" i="11"/>
  <c r="J20" i="11"/>
  <c r="K20" i="11"/>
  <c r="L20" i="11"/>
  <c r="M20" i="11"/>
  <c r="N20" i="11"/>
  <c r="E21" i="11"/>
  <c r="F21" i="11"/>
  <c r="G21" i="11"/>
  <c r="H21" i="11"/>
  <c r="J21" i="11"/>
  <c r="K21" i="11"/>
  <c r="L21" i="11"/>
  <c r="M21" i="11"/>
  <c r="N21" i="11"/>
  <c r="E22" i="11"/>
  <c r="F22" i="11"/>
  <c r="G22" i="11"/>
  <c r="H22" i="11"/>
  <c r="J22" i="11"/>
  <c r="K22" i="11"/>
  <c r="L22" i="11"/>
  <c r="M22" i="11"/>
  <c r="N22" i="11"/>
  <c r="E23" i="11"/>
  <c r="F23" i="11"/>
  <c r="G23" i="11"/>
  <c r="H23" i="11"/>
  <c r="J23" i="11"/>
  <c r="K23" i="11"/>
  <c r="L23" i="11"/>
  <c r="M23" i="11"/>
  <c r="N23" i="11"/>
  <c r="E24" i="11"/>
  <c r="F24" i="11"/>
  <c r="G24" i="11"/>
  <c r="H24" i="11"/>
  <c r="J24" i="11"/>
  <c r="K24" i="11"/>
  <c r="L24" i="11"/>
  <c r="M24" i="11"/>
  <c r="N24" i="11"/>
  <c r="E25" i="11"/>
  <c r="F25" i="11"/>
  <c r="G25" i="11"/>
  <c r="H25" i="11"/>
  <c r="J25" i="11"/>
  <c r="K25" i="11"/>
  <c r="L25" i="11"/>
  <c r="M25" i="11"/>
  <c r="N25" i="11"/>
  <c r="E26" i="11"/>
  <c r="F26" i="11"/>
  <c r="G26" i="11"/>
  <c r="H26" i="11"/>
  <c r="J26" i="11"/>
  <c r="K26" i="11"/>
  <c r="L26" i="11"/>
  <c r="M26" i="11"/>
  <c r="N26" i="11"/>
  <c r="E27" i="11"/>
  <c r="F27" i="11"/>
  <c r="G27" i="11"/>
  <c r="H27" i="11"/>
  <c r="J27" i="11"/>
  <c r="K27" i="11"/>
  <c r="L27" i="11"/>
  <c r="M27" i="11"/>
  <c r="N27" i="11"/>
  <c r="E28" i="11"/>
  <c r="F28" i="11"/>
  <c r="G28" i="11"/>
  <c r="H28" i="11"/>
  <c r="J28" i="11"/>
  <c r="K28" i="11"/>
  <c r="L28" i="11"/>
  <c r="M28" i="11"/>
  <c r="N28" i="11"/>
  <c r="Q51" i="11"/>
  <c r="R51" i="11"/>
  <c r="S51" i="11"/>
  <c r="T51" i="11"/>
  <c r="Q54" i="11"/>
  <c r="R54" i="11"/>
  <c r="S54" i="11"/>
  <c r="T54" i="11"/>
  <c r="Q55" i="11"/>
  <c r="R55" i="11"/>
  <c r="S55" i="11"/>
  <c r="T55" i="11"/>
  <c r="Q57" i="11"/>
  <c r="R57" i="11"/>
  <c r="S57" i="11"/>
  <c r="T57" i="11"/>
  <c r="Q58" i="11"/>
  <c r="R58" i="11"/>
  <c r="S58" i="11"/>
  <c r="T58" i="11"/>
  <c r="Q59" i="11"/>
  <c r="R59" i="11"/>
  <c r="S59" i="11"/>
  <c r="T59" i="11"/>
  <c r="Q60" i="11"/>
  <c r="R60" i="11"/>
  <c r="S60" i="11"/>
  <c r="T60" i="11"/>
  <c r="Q61" i="11"/>
  <c r="R61" i="11"/>
  <c r="S61" i="11"/>
  <c r="T61" i="11"/>
  <c r="Q62" i="11"/>
  <c r="R62" i="11"/>
  <c r="S62" i="11"/>
  <c r="T62" i="11"/>
  <c r="Q63" i="11"/>
  <c r="R63" i="11"/>
  <c r="S63" i="11"/>
  <c r="T63" i="11"/>
  <c r="Q64" i="11"/>
  <c r="R64" i="11"/>
  <c r="S64" i="11"/>
  <c r="T64" i="11"/>
  <c r="Q65" i="11"/>
  <c r="R65" i="11"/>
  <c r="S65" i="11"/>
  <c r="T65" i="11"/>
  <c r="Q66" i="11"/>
  <c r="R66" i="11"/>
  <c r="S66" i="11"/>
  <c r="T66" i="11"/>
  <c r="Q67" i="11"/>
  <c r="R67" i="11"/>
  <c r="S67" i="11"/>
  <c r="T67" i="11"/>
  <c r="Q68" i="11"/>
  <c r="R68" i="11"/>
  <c r="S68" i="11"/>
  <c r="T68" i="11"/>
  <c r="Q69" i="11"/>
  <c r="R69" i="11"/>
  <c r="S69" i="11"/>
  <c r="T69" i="11"/>
  <c r="Q70" i="11"/>
  <c r="R70" i="11"/>
  <c r="S70" i="11"/>
  <c r="T70" i="11"/>
  <c r="Q71" i="11"/>
  <c r="R71" i="11"/>
  <c r="S71" i="11"/>
  <c r="T71" i="11"/>
  <c r="Q74" i="11"/>
  <c r="R74" i="11"/>
  <c r="S74" i="11"/>
  <c r="T74" i="11"/>
  <c r="Q75" i="11"/>
  <c r="R75" i="11"/>
  <c r="S75" i="11"/>
  <c r="T75" i="11"/>
  <c r="Q76" i="11"/>
  <c r="R76" i="11"/>
  <c r="S76" i="11"/>
  <c r="T76" i="11"/>
  <c r="Q77" i="11"/>
  <c r="R77" i="11"/>
  <c r="S77" i="11"/>
  <c r="T77" i="11"/>
  <c r="Q78" i="11"/>
  <c r="R78" i="11"/>
  <c r="S78" i="11"/>
  <c r="T78" i="11"/>
  <c r="Q79" i="11"/>
  <c r="R79" i="11"/>
  <c r="S79" i="11"/>
  <c r="T79" i="11"/>
  <c r="Q80" i="11"/>
  <c r="R80" i="11"/>
  <c r="S80" i="11"/>
  <c r="T80" i="11"/>
  <c r="Q81" i="11"/>
  <c r="R81" i="11"/>
  <c r="S81" i="11"/>
  <c r="T81" i="11"/>
  <c r="Q82" i="11"/>
  <c r="R82" i="11"/>
  <c r="S82" i="11"/>
  <c r="T82" i="11"/>
  <c r="Q83" i="11"/>
  <c r="R83" i="11"/>
  <c r="S83" i="11"/>
  <c r="T83" i="11"/>
  <c r="Q84" i="11"/>
  <c r="R84" i="11"/>
  <c r="S84" i="11"/>
  <c r="T84" i="11"/>
  <c r="Q85" i="11"/>
  <c r="R85" i="11"/>
  <c r="S85" i="11"/>
  <c r="T85" i="11"/>
  <c r="Q86" i="11"/>
  <c r="R86" i="11"/>
  <c r="S86" i="11"/>
  <c r="T86" i="11"/>
  <c r="Q87" i="11"/>
  <c r="R87" i="11"/>
  <c r="S87" i="11"/>
  <c r="T87" i="11"/>
  <c r="Q88" i="11"/>
  <c r="R88" i="11"/>
  <c r="S88" i="11"/>
  <c r="T88" i="11"/>
  <c r="Q89" i="11"/>
  <c r="R89" i="11"/>
  <c r="S89" i="11"/>
  <c r="T89" i="11"/>
  <c r="Q90" i="11"/>
  <c r="R90" i="11"/>
  <c r="S90" i="11"/>
  <c r="T90" i="11"/>
  <c r="Q91" i="11"/>
  <c r="R91" i="11"/>
  <c r="S91" i="11"/>
  <c r="T91" i="11"/>
  <c r="Q92" i="11"/>
  <c r="R92" i="11"/>
  <c r="S92" i="11"/>
  <c r="T92" i="11"/>
  <c r="Q93" i="11"/>
  <c r="R93" i="11"/>
  <c r="S93" i="11"/>
  <c r="T93" i="11"/>
  <c r="Q94" i="11"/>
  <c r="R94" i="11"/>
  <c r="S94" i="11"/>
  <c r="T94" i="11"/>
  <c r="Q95" i="11"/>
  <c r="R95" i="11"/>
  <c r="S95" i="11"/>
  <c r="T95" i="11"/>
  <c r="Q108" i="11"/>
  <c r="R108" i="11"/>
  <c r="S108" i="11"/>
  <c r="T108" i="11"/>
  <c r="Q109" i="11"/>
  <c r="R109" i="11"/>
  <c r="S109" i="11"/>
  <c r="T109" i="11"/>
  <c r="Q111" i="11"/>
  <c r="R111" i="11"/>
  <c r="S111" i="11"/>
  <c r="T111" i="11"/>
  <c r="Q113" i="11"/>
  <c r="R113" i="11"/>
  <c r="S113" i="11"/>
  <c r="T113" i="11"/>
  <c r="Q116" i="11"/>
  <c r="R116" i="11"/>
  <c r="S116" i="11"/>
  <c r="T116" i="11"/>
  <c r="Q118" i="11"/>
  <c r="R118" i="11"/>
  <c r="S118" i="11"/>
  <c r="T118" i="11"/>
  <c r="Q120" i="11"/>
  <c r="R120" i="11"/>
  <c r="S120" i="11"/>
  <c r="T120" i="11"/>
  <c r="Q121" i="11"/>
  <c r="R121" i="11"/>
  <c r="S121" i="11"/>
  <c r="T121" i="11"/>
  <c r="Q122" i="11"/>
  <c r="R122" i="11"/>
  <c r="S122" i="11"/>
  <c r="T122" i="11"/>
  <c r="Q123" i="11"/>
  <c r="R123" i="11"/>
  <c r="S123" i="11"/>
  <c r="T123" i="11"/>
  <c r="Q124" i="11"/>
  <c r="R124" i="11"/>
  <c r="S124" i="11"/>
  <c r="T124" i="11"/>
  <c r="Q125" i="11"/>
  <c r="R125" i="11"/>
  <c r="S125" i="11"/>
  <c r="T125" i="11"/>
  <c r="Q126" i="11"/>
  <c r="R126" i="11"/>
  <c r="S126" i="11"/>
  <c r="T126" i="11"/>
  <c r="Q127" i="11"/>
  <c r="R127" i="11"/>
  <c r="S127" i="11"/>
  <c r="T127" i="11"/>
  <c r="Q128" i="11"/>
  <c r="R128" i="11"/>
  <c r="S128" i="11"/>
  <c r="T128" i="11"/>
  <c r="Q129" i="11"/>
  <c r="R129" i="11"/>
  <c r="S129" i="11"/>
  <c r="T129" i="11"/>
  <c r="Q130" i="11"/>
  <c r="R130" i="11"/>
  <c r="S130" i="11"/>
  <c r="T130" i="11"/>
  <c r="Q131" i="11"/>
  <c r="R131" i="11"/>
  <c r="S131" i="11"/>
  <c r="T131" i="11"/>
  <c r="Q132" i="11"/>
  <c r="R132" i="11"/>
  <c r="S132" i="11"/>
  <c r="T132" i="11"/>
  <c r="Q133" i="11"/>
  <c r="R133" i="11"/>
  <c r="S133" i="11"/>
  <c r="T133" i="11"/>
  <c r="Q134" i="11"/>
  <c r="R134" i="11"/>
  <c r="S134" i="11"/>
  <c r="T134" i="11"/>
  <c r="Q139" i="11"/>
  <c r="R139" i="11"/>
  <c r="S139" i="11"/>
  <c r="T139" i="11"/>
  <c r="Q141" i="11"/>
  <c r="R141" i="11"/>
  <c r="S141" i="11"/>
  <c r="T141" i="11"/>
  <c r="Q142" i="11"/>
  <c r="R142" i="11"/>
  <c r="S142" i="11"/>
  <c r="T142" i="11"/>
  <c r="Q143" i="11"/>
  <c r="R143" i="11"/>
  <c r="S143" i="11"/>
  <c r="T143" i="11"/>
  <c r="Q144" i="11"/>
  <c r="R144" i="11"/>
  <c r="S144" i="11"/>
  <c r="T144" i="11"/>
  <c r="Q145" i="11"/>
  <c r="R145" i="11"/>
  <c r="S145" i="11"/>
  <c r="T145" i="11"/>
  <c r="Q146" i="11"/>
  <c r="R146" i="11"/>
  <c r="S146" i="11"/>
  <c r="T146" i="11"/>
  <c r="Q147" i="11"/>
  <c r="R147" i="11"/>
  <c r="S147" i="11"/>
  <c r="T147" i="11"/>
  <c r="Q148" i="11"/>
  <c r="R148" i="11"/>
  <c r="S148" i="11"/>
  <c r="T148" i="11"/>
  <c r="Q149" i="11"/>
  <c r="R149" i="11"/>
  <c r="S149" i="11"/>
  <c r="T149" i="11"/>
  <c r="Q150" i="11"/>
  <c r="R150" i="11"/>
  <c r="S150" i="11"/>
  <c r="T150" i="11"/>
  <c r="Q151" i="11"/>
  <c r="R151" i="11"/>
  <c r="S151" i="11"/>
  <c r="T151" i="11"/>
  <c r="Q152" i="11"/>
  <c r="R152" i="11"/>
  <c r="S152" i="11"/>
  <c r="T152" i="11"/>
  <c r="Q153" i="11"/>
  <c r="R153" i="11"/>
  <c r="S153" i="11"/>
  <c r="T153" i="11"/>
  <c r="Q154" i="11"/>
  <c r="R154" i="11"/>
  <c r="S154" i="11"/>
  <c r="T154" i="11"/>
  <c r="Q155" i="11"/>
  <c r="R155" i="11"/>
  <c r="S155" i="11"/>
  <c r="T155" i="11"/>
  <c r="Q156" i="11"/>
  <c r="R156" i="11"/>
  <c r="S156" i="11"/>
  <c r="T156" i="11"/>
  <c r="Q157" i="11"/>
  <c r="R157" i="11"/>
  <c r="S157" i="11"/>
  <c r="T157" i="11"/>
  <c r="Q158" i="11"/>
  <c r="R158" i="11"/>
  <c r="S158" i="11"/>
  <c r="T158" i="11"/>
  <c r="Q159" i="11"/>
  <c r="R159" i="11"/>
  <c r="S159" i="11"/>
  <c r="T159" i="11"/>
  <c r="Q160" i="11"/>
  <c r="R160" i="11"/>
  <c r="S160" i="11"/>
  <c r="T160" i="11"/>
  <c r="Q161" i="11"/>
  <c r="R161" i="11"/>
  <c r="S161" i="11"/>
  <c r="T161" i="11"/>
  <c r="Q162" i="11"/>
  <c r="R162" i="11"/>
  <c r="S162" i="11"/>
  <c r="T162" i="11"/>
  <c r="Q163" i="11"/>
  <c r="R163" i="11"/>
  <c r="S163" i="11"/>
  <c r="T163" i="11"/>
  <c r="Q164" i="11"/>
  <c r="R164" i="11"/>
  <c r="S164" i="11"/>
  <c r="T164" i="11"/>
  <c r="Q165" i="11"/>
  <c r="R165" i="11"/>
  <c r="S165" i="11"/>
  <c r="T165" i="11"/>
  <c r="Q166" i="11"/>
  <c r="R166" i="11"/>
  <c r="S166" i="11"/>
  <c r="T166" i="11"/>
  <c r="Q167" i="11"/>
  <c r="R167" i="11"/>
  <c r="S167" i="11"/>
  <c r="T167" i="11"/>
  <c r="Q168" i="11"/>
  <c r="R168" i="11"/>
  <c r="S168" i="11"/>
  <c r="T168" i="11"/>
  <c r="Q169" i="11"/>
  <c r="R169" i="11"/>
  <c r="S169" i="11"/>
  <c r="T169" i="11"/>
  <c r="Q170" i="11"/>
  <c r="R170" i="11"/>
  <c r="S170" i="11"/>
  <c r="T170" i="11"/>
  <c r="Q171" i="11"/>
  <c r="R171" i="11"/>
  <c r="S171" i="11"/>
  <c r="T171" i="11"/>
  <c r="Q176" i="11"/>
  <c r="R176" i="11"/>
  <c r="S176" i="11"/>
  <c r="T176" i="11"/>
  <c r="Q177" i="11"/>
  <c r="R177" i="11"/>
  <c r="S177" i="11"/>
  <c r="T177" i="11"/>
  <c r="Q178" i="11"/>
  <c r="R178" i="11"/>
  <c r="S178" i="11"/>
  <c r="T178" i="11"/>
  <c r="Q179" i="11"/>
  <c r="R179" i="11"/>
  <c r="S179" i="11"/>
  <c r="T179" i="11"/>
  <c r="Q180" i="11"/>
  <c r="R180" i="11"/>
  <c r="S180" i="11"/>
  <c r="T180" i="11"/>
  <c r="Q181" i="11"/>
  <c r="R181" i="11"/>
  <c r="S181" i="11"/>
  <c r="T181" i="11"/>
  <c r="Q182" i="11"/>
  <c r="R182" i="11"/>
  <c r="S182" i="11"/>
  <c r="T182" i="11"/>
  <c r="Q183" i="11"/>
  <c r="R183" i="11"/>
  <c r="S183" i="11"/>
  <c r="T183" i="11"/>
  <c r="Q184" i="11"/>
  <c r="R184" i="11"/>
  <c r="S184" i="11"/>
  <c r="T184" i="11"/>
  <c r="Q185" i="11"/>
  <c r="R185" i="11"/>
  <c r="S185" i="11"/>
  <c r="T185" i="11"/>
  <c r="Q186" i="11"/>
  <c r="R186" i="11"/>
  <c r="S186" i="11"/>
  <c r="T186" i="11"/>
  <c r="Q187" i="11"/>
  <c r="R187" i="11"/>
  <c r="S187" i="11"/>
  <c r="T187" i="11"/>
  <c r="Q188" i="11"/>
  <c r="R188" i="11"/>
  <c r="S188" i="11"/>
  <c r="T188" i="11"/>
  <c r="Q189" i="11"/>
  <c r="R189" i="11"/>
  <c r="S189" i="11"/>
  <c r="T189" i="11"/>
  <c r="Q192" i="11"/>
  <c r="R192" i="11"/>
  <c r="S192" i="11"/>
  <c r="T192" i="11"/>
  <c r="Q193" i="11"/>
  <c r="R193" i="11"/>
  <c r="S193" i="11"/>
  <c r="T193" i="11"/>
  <c r="Q194" i="11"/>
  <c r="R194" i="11"/>
  <c r="S194" i="11"/>
  <c r="T194" i="11"/>
  <c r="Q195" i="11"/>
  <c r="R195" i="11"/>
  <c r="S195" i="11"/>
  <c r="T195" i="11"/>
  <c r="Q196" i="11"/>
  <c r="R196" i="11"/>
  <c r="S196" i="11"/>
  <c r="T196" i="11"/>
  <c r="Q197" i="11"/>
  <c r="R197" i="11"/>
  <c r="S197" i="11"/>
  <c r="T197" i="11"/>
  <c r="Q198" i="11"/>
  <c r="R198" i="11"/>
  <c r="S198" i="11"/>
  <c r="T198" i="11"/>
  <c r="Q199" i="11"/>
  <c r="R199" i="11"/>
  <c r="S199" i="11"/>
  <c r="T199" i="11"/>
  <c r="Q204" i="11"/>
  <c r="Q205" i="11"/>
  <c r="R205" i="11"/>
  <c r="Q206" i="11"/>
  <c r="R206" i="11"/>
  <c r="Q207" i="11"/>
  <c r="R207" i="11"/>
  <c r="Q208" i="11"/>
  <c r="R208" i="11"/>
  <c r="Q209" i="11"/>
  <c r="R209" i="11"/>
  <c r="Q210" i="11"/>
  <c r="R210" i="11"/>
  <c r="Q211" i="11"/>
  <c r="R211" i="11"/>
  <c r="Q212" i="11"/>
  <c r="R212" i="11"/>
  <c r="Q46" i="11"/>
  <c r="R46" i="11"/>
  <c r="S46" i="11"/>
  <c r="T46" i="11"/>
  <c r="Q47" i="11"/>
  <c r="R47" i="11"/>
  <c r="S47" i="11"/>
  <c r="T47" i="11"/>
  <c r="Q48" i="11"/>
  <c r="R48" i="11"/>
  <c r="S48" i="11"/>
  <c r="T48" i="11"/>
  <c r="Q50" i="11"/>
  <c r="R50" i="11"/>
  <c r="S50" i="11"/>
  <c r="T50" i="11"/>
  <c r="J268" i="7" l="1"/>
  <c r="I268" i="7"/>
  <c r="O8" i="5" l="1"/>
  <c r="O9" i="5"/>
  <c r="L22" i="5" l="1"/>
  <c r="J7" i="5" l="1"/>
  <c r="M7" i="5" s="1"/>
  <c r="N7" i="5" s="1"/>
  <c r="H28" i="5" l="1"/>
  <c r="H10" i="5" l="1"/>
  <c r="Q32" i="11" l="1"/>
  <c r="R32" i="11"/>
  <c r="S32" i="11"/>
  <c r="T32" i="11"/>
  <c r="Q35" i="11"/>
  <c r="R35" i="11"/>
  <c r="S35" i="11"/>
  <c r="T35" i="11"/>
  <c r="J53" i="15" l="1"/>
  <c r="I53" i="15"/>
  <c r="H53" i="15"/>
  <c r="G53" i="15"/>
  <c r="F53" i="15"/>
  <c r="E53" i="15"/>
  <c r="D53" i="15"/>
  <c r="J52" i="15"/>
  <c r="I52" i="15"/>
  <c r="H52" i="15"/>
  <c r="G52" i="15"/>
  <c r="F52" i="15"/>
  <c r="E52" i="15"/>
  <c r="D52" i="15"/>
  <c r="J51" i="15"/>
  <c r="I51" i="15"/>
  <c r="H51" i="15"/>
  <c r="G51" i="15"/>
  <c r="F51" i="15"/>
  <c r="E51" i="15"/>
  <c r="D51" i="15"/>
  <c r="J50" i="15"/>
  <c r="I50" i="15"/>
  <c r="H50" i="15"/>
  <c r="G50" i="15"/>
  <c r="F50" i="15"/>
  <c r="E50" i="15"/>
  <c r="D50" i="15"/>
  <c r="J48" i="15"/>
  <c r="I48" i="15"/>
  <c r="F47" i="15"/>
  <c r="F46" i="15"/>
  <c r="J43" i="15"/>
  <c r="I43" i="15"/>
  <c r="H43" i="15"/>
  <c r="J42" i="15"/>
  <c r="I42" i="15"/>
  <c r="H42" i="15"/>
  <c r="G42" i="15"/>
  <c r="E42" i="15"/>
  <c r="D42" i="15"/>
  <c r="K41" i="15"/>
  <c r="H40" i="15"/>
  <c r="G40" i="15"/>
  <c r="E39" i="15"/>
  <c r="D39" i="15"/>
  <c r="H38" i="15"/>
  <c r="G38" i="15"/>
  <c r="H37" i="15"/>
  <c r="G37" i="15"/>
  <c r="H36" i="15"/>
  <c r="G36" i="15"/>
  <c r="G35" i="15"/>
  <c r="D35" i="15"/>
  <c r="J34" i="15"/>
  <c r="I34" i="15"/>
  <c r="H34" i="15"/>
  <c r="J33" i="15"/>
  <c r="I33" i="15"/>
  <c r="H33" i="15"/>
  <c r="F32" i="15"/>
  <c r="E32" i="15"/>
  <c r="D32" i="15"/>
  <c r="F31" i="15"/>
  <c r="E31" i="15"/>
  <c r="D31" i="15"/>
  <c r="F30" i="15"/>
  <c r="E30" i="15"/>
  <c r="D30" i="15"/>
  <c r="E29" i="15"/>
  <c r="E28" i="15"/>
  <c r="I23" i="15"/>
  <c r="G23" i="15"/>
  <c r="E23" i="15"/>
  <c r="I16" i="15"/>
  <c r="H16" i="15"/>
  <c r="G16" i="15"/>
  <c r="E16" i="15"/>
  <c r="D16" i="15"/>
  <c r="J11" i="15"/>
  <c r="I11" i="15"/>
  <c r="J10" i="15"/>
  <c r="I10" i="15"/>
  <c r="I9" i="15"/>
  <c r="H9" i="15"/>
  <c r="G9" i="15"/>
  <c r="F8" i="15"/>
  <c r="F7" i="15"/>
  <c r="E6" i="15"/>
  <c r="D6" i="15"/>
  <c r="B37" i="3" l="1"/>
  <c r="B36" i="3"/>
  <c r="B21" i="3"/>
  <c r="B20" i="3"/>
  <c r="B5" i="3" l="1"/>
  <c r="E53" i="7" l="1"/>
  <c r="F53" i="7" s="1"/>
  <c r="G53" i="7" s="1"/>
  <c r="H53" i="7" s="1"/>
  <c r="I53" i="7" s="1"/>
  <c r="J53" i="7" s="1"/>
  <c r="E52" i="7"/>
  <c r="F52" i="7" s="1"/>
  <c r="G52" i="7" s="1"/>
  <c r="H52" i="7" s="1"/>
  <c r="I52" i="7" s="1"/>
  <c r="J52" i="7" s="1"/>
  <c r="T231" i="7"/>
  <c r="W231" i="7" s="1"/>
  <c r="H231" i="7"/>
  <c r="I231" i="7" s="1"/>
  <c r="J231" i="7" s="1"/>
  <c r="AA231" i="7" l="1"/>
  <c r="E103" i="7" l="1"/>
  <c r="E108" i="7"/>
  <c r="F91" i="7"/>
  <c r="F70" i="7"/>
  <c r="E36" i="7"/>
  <c r="F36" i="7" s="1"/>
  <c r="G36" i="7" s="1"/>
  <c r="H36" i="7" s="1"/>
  <c r="I36" i="7" s="1"/>
  <c r="J36" i="7" s="1"/>
  <c r="E44" i="7"/>
  <c r="F44" i="7" s="1"/>
  <c r="G44" i="7" s="1"/>
  <c r="H44" i="7" s="1"/>
  <c r="I44" i="7" s="1"/>
  <c r="J44" i="7" s="1"/>
  <c r="B1" i="3" l="1"/>
  <c r="B4" i="3"/>
  <c r="H62" i="5" l="1"/>
  <c r="I62" i="5"/>
  <c r="J12" i="5"/>
  <c r="K12" i="5" s="1"/>
  <c r="L12" i="5" s="1"/>
  <c r="M12" i="5" s="1"/>
  <c r="N12" i="5" s="1"/>
  <c r="O12" i="5" s="1"/>
  <c r="J27" i="5"/>
  <c r="I23" i="5"/>
  <c r="I24" i="5" s="1"/>
  <c r="CD4" i="8"/>
  <c r="CD5" i="8" s="1"/>
  <c r="J23" i="5" l="1"/>
  <c r="J24" i="5" s="1"/>
  <c r="K27" i="5" l="1"/>
  <c r="K23" i="5"/>
  <c r="K24" i="5" s="1"/>
  <c r="L23" i="5" l="1"/>
  <c r="L24" i="5" s="1"/>
  <c r="BZ3" i="8"/>
  <c r="M27" i="5" l="1"/>
  <c r="M23" i="5"/>
  <c r="M24" i="5" s="1"/>
  <c r="N41" i="7"/>
  <c r="T41" i="7"/>
  <c r="T42" i="7"/>
  <c r="M299" i="7"/>
  <c r="AA41" i="7" l="1"/>
  <c r="W41" i="7"/>
  <c r="N27" i="5"/>
  <c r="N23" i="5"/>
  <c r="N24" i="5" s="1"/>
  <c r="E8" i="3"/>
  <c r="A110" i="12"/>
  <c r="A111" i="12"/>
  <c r="A112" i="12"/>
  <c r="A114" i="12"/>
  <c r="A115" i="12"/>
  <c r="A116" i="12"/>
  <c r="A117" i="12"/>
  <c r="A118" i="12"/>
  <c r="A119" i="12"/>
  <c r="A120" i="12"/>
  <c r="A121" i="12"/>
  <c r="A122" i="12"/>
  <c r="A124" i="12"/>
  <c r="A125" i="12"/>
  <c r="A126" i="12"/>
  <c r="A127" i="12"/>
  <c r="A109" i="12"/>
  <c r="H263" i="7"/>
  <c r="F259" i="7"/>
  <c r="F260" i="7"/>
  <c r="F263" i="7"/>
  <c r="I263" i="7" s="1"/>
  <c r="J263" i="7" s="1"/>
  <c r="F258" i="7"/>
  <c r="G260" i="7"/>
  <c r="D263" i="7"/>
  <c r="G263" i="7" s="1"/>
  <c r="T262" i="7"/>
  <c r="T263" i="7"/>
  <c r="W263" i="7" s="1"/>
  <c r="T264" i="7"/>
  <c r="W264" i="7" s="1"/>
  <c r="T227" i="7"/>
  <c r="AA227" i="7" s="1"/>
  <c r="T228" i="7"/>
  <c r="W228" i="7" s="1"/>
  <c r="T229" i="7"/>
  <c r="W229" i="7" s="1"/>
  <c r="F227" i="7"/>
  <c r="F229" i="7" s="1"/>
  <c r="I229" i="7" s="1"/>
  <c r="AA262" i="7" l="1"/>
  <c r="U262" i="7"/>
  <c r="K260" i="7"/>
  <c r="F261" i="7"/>
  <c r="G261" i="7"/>
  <c r="K261" i="7"/>
  <c r="AA264" i="7"/>
  <c r="W262" i="7"/>
  <c r="O23" i="5"/>
  <c r="O24" i="5" s="1"/>
  <c r="O27" i="5"/>
  <c r="AA263" i="7"/>
  <c r="K263" i="7"/>
  <c r="I227" i="7"/>
  <c r="AA228" i="7"/>
  <c r="J229" i="7"/>
  <c r="AA229" i="7"/>
  <c r="J227" i="7"/>
  <c r="W227" i="7"/>
  <c r="H255" i="7"/>
  <c r="I255" i="7"/>
  <c r="J255" i="7" s="1"/>
  <c r="G255" i="7"/>
  <c r="T260" i="7" l="1"/>
  <c r="AA260" i="7" s="1"/>
  <c r="T261" i="7"/>
  <c r="AA261" i="7" s="1"/>
  <c r="H261" i="7"/>
  <c r="I261" i="7"/>
  <c r="J261" i="7" s="1"/>
  <c r="I260" i="7"/>
  <c r="J260" i="7" s="1"/>
  <c r="H260" i="7"/>
  <c r="W261" i="7" l="1"/>
  <c r="W260" i="7"/>
  <c r="Z39" i="3" l="1"/>
  <c r="Z23" i="3"/>
  <c r="Z7" i="3"/>
  <c r="G207" i="7" l="1"/>
  <c r="H207" i="7" s="1"/>
  <c r="J207" i="7"/>
  <c r="I207" i="7"/>
  <c r="AX5" i="8" l="1"/>
  <c r="BG5" i="8"/>
  <c r="BG4" i="8"/>
  <c r="AX4" i="8"/>
  <c r="BG3" i="8"/>
  <c r="AX3" i="8"/>
  <c r="N159" i="7" l="1"/>
  <c r="N160" i="7"/>
  <c r="N167" i="7"/>
  <c r="N168" i="7"/>
  <c r="D159" i="7"/>
  <c r="E159" i="7" s="1"/>
  <c r="F159" i="7" s="1"/>
  <c r="G159" i="7" s="1"/>
  <c r="H159" i="7" s="1"/>
  <c r="I159" i="7" s="1"/>
  <c r="J159" i="7" s="1"/>
  <c r="K159" i="7" s="1"/>
  <c r="D160" i="7" l="1"/>
  <c r="E160" i="7" s="1"/>
  <c r="F160" i="7" s="1"/>
  <c r="G160" i="7" s="1"/>
  <c r="H160" i="7" s="1"/>
  <c r="I160" i="7" s="1"/>
  <c r="J160" i="7" s="1"/>
  <c r="K160" i="7" s="1"/>
  <c r="T152" i="7" l="1"/>
  <c r="U152" i="7" s="1"/>
  <c r="O152" i="7" s="1"/>
  <c r="D152" i="7"/>
  <c r="W152" i="7" l="1"/>
  <c r="X152" i="7" s="1"/>
  <c r="P152" i="7" s="1"/>
  <c r="AA152" i="7"/>
  <c r="AB152" i="7" s="1"/>
  <c r="Q152" i="7" s="1"/>
  <c r="BU3" i="8"/>
  <c r="BU4" i="8" s="1"/>
  <c r="BU5" i="8" s="1"/>
  <c r="I184" i="7" l="1"/>
  <c r="J184" i="7" s="1"/>
  <c r="H184" i="7"/>
  <c r="T184" i="7"/>
  <c r="W184" i="7" l="1"/>
  <c r="AA184" i="7"/>
  <c r="N176" i="7"/>
  <c r="N177" i="7"/>
  <c r="N178" i="7"/>
  <c r="N179" i="7"/>
  <c r="N180" i="7"/>
  <c r="AA180" i="7"/>
  <c r="AB180" i="7" s="1"/>
  <c r="Q180" i="7" s="1"/>
  <c r="AA176" i="7"/>
  <c r="AB176" i="7" s="1"/>
  <c r="Q176" i="7" s="1"/>
  <c r="W176" i="7"/>
  <c r="X176" i="7" s="1"/>
  <c r="P176" i="7" s="1"/>
  <c r="W177" i="7"/>
  <c r="W178" i="7"/>
  <c r="W179" i="7"/>
  <c r="W180" i="7"/>
  <c r="X180" i="7" s="1"/>
  <c r="P180" i="7" s="1"/>
  <c r="T176" i="7"/>
  <c r="U176" i="7" s="1"/>
  <c r="O176" i="7" s="1"/>
  <c r="T177" i="7"/>
  <c r="T178" i="7"/>
  <c r="T179" i="7"/>
  <c r="T180" i="7"/>
  <c r="U180" i="7" s="1"/>
  <c r="O180" i="7" s="1"/>
  <c r="J209" i="7" l="1"/>
  <c r="S299" i="7" l="1"/>
  <c r="O127" i="7"/>
  <c r="O134" i="7"/>
  <c r="O135" i="7"/>
  <c r="O205" i="7"/>
  <c r="P127" i="7"/>
  <c r="P134" i="7"/>
  <c r="P135" i="7"/>
  <c r="P205" i="7"/>
  <c r="P272" i="7"/>
  <c r="A2" i="3" l="1"/>
  <c r="N298" i="7" l="1"/>
  <c r="N297" i="7"/>
  <c r="N269" i="7"/>
  <c r="N281" i="7"/>
  <c r="N280" i="7"/>
  <c r="F209" i="7"/>
  <c r="G209" i="7" s="1"/>
  <c r="H209" i="7" s="1"/>
  <c r="T209" i="7" l="1"/>
  <c r="AA209" i="7" s="1"/>
  <c r="W209" i="7" l="1"/>
  <c r="H88" i="7" l="1"/>
  <c r="F88" i="7"/>
  <c r="H89" i="7"/>
  <c r="F89" i="7"/>
  <c r="Q1" i="3" l="1"/>
  <c r="Q28" i="11" l="1"/>
  <c r="R28" i="11"/>
  <c r="S28" i="11"/>
  <c r="T28" i="11"/>
  <c r="N196" i="7" l="1"/>
  <c r="T196" i="7"/>
  <c r="W196" i="7" s="1"/>
  <c r="H196" i="7"/>
  <c r="I196" i="7" s="1"/>
  <c r="K196" i="7" s="1"/>
  <c r="J102" i="12"/>
  <c r="N279" i="7"/>
  <c r="H195" i="7"/>
  <c r="I195" i="7" s="1"/>
  <c r="K195" i="7" s="1"/>
  <c r="AA196" i="7" l="1"/>
  <c r="AB196" i="7" s="1"/>
  <c r="Q196" i="7" s="1"/>
  <c r="U196" i="7" l="1"/>
  <c r="O196" i="7" s="1"/>
  <c r="E50" i="5" l="1"/>
  <c r="D50" i="5"/>
  <c r="C50" i="5"/>
  <c r="T281" i="7"/>
  <c r="T279" i="7"/>
  <c r="U279" i="7" s="1"/>
  <c r="O279" i="7" s="1"/>
  <c r="D280" i="7"/>
  <c r="D281" i="7" s="1"/>
  <c r="W281" i="7" l="1"/>
  <c r="X281" i="7" s="1"/>
  <c r="P281" i="7" s="1"/>
  <c r="AA279" i="7"/>
  <c r="AB279" i="7" s="1"/>
  <c r="Q279" i="7" s="1"/>
  <c r="W279" i="7"/>
  <c r="AA281" i="7"/>
  <c r="A8" i="3"/>
  <c r="AB23" i="7" l="1"/>
  <c r="X23" i="7"/>
  <c r="P23" i="7" s="1"/>
  <c r="N23" i="7" l="1"/>
  <c r="J23" i="7"/>
  <c r="G23" i="7"/>
  <c r="H23" i="7" s="1"/>
  <c r="I23" i="7" s="1"/>
  <c r="Q23" i="7"/>
  <c r="U23" i="7"/>
  <c r="O23" i="7" s="1"/>
  <c r="T23" i="7"/>
  <c r="W23" i="7" s="1"/>
  <c r="E23" i="7"/>
  <c r="AA23" i="7" l="1"/>
  <c r="K252" i="7" l="1"/>
  <c r="J252" i="7"/>
  <c r="I252" i="7"/>
  <c r="H252" i="7"/>
  <c r="G252" i="7"/>
  <c r="D273" i="7"/>
  <c r="G273" i="7" s="1"/>
  <c r="D272" i="7"/>
  <c r="G272" i="7" s="1"/>
  <c r="Q205" i="7" l="1"/>
  <c r="Q272" i="7"/>
  <c r="N234" i="7"/>
  <c r="N233" i="7"/>
  <c r="N218" i="7"/>
  <c r="N217" i="7"/>
  <c r="J217" i="7" l="1"/>
  <c r="J218" i="7" s="1"/>
  <c r="J219" i="7" s="1"/>
  <c r="I217" i="7"/>
  <c r="I218" i="7" s="1"/>
  <c r="I219" i="7" s="1"/>
  <c r="H217" i="7"/>
  <c r="H218" i="7" s="1"/>
  <c r="H219" i="7" s="1"/>
  <c r="F217" i="7"/>
  <c r="F218" i="7" s="1"/>
  <c r="F219" i="7" s="1"/>
  <c r="G217" i="7"/>
  <c r="G218" i="7" s="1"/>
  <c r="G219" i="7" s="1"/>
  <c r="E218" i="7"/>
  <c r="E104" i="12"/>
  <c r="D104" i="12"/>
  <c r="T218" i="7"/>
  <c r="W218" i="7" s="1"/>
  <c r="T217" i="7"/>
  <c r="AA217" i="7" s="1"/>
  <c r="T241" i="7"/>
  <c r="W241" i="7" s="1"/>
  <c r="E102" i="12"/>
  <c r="F101" i="12"/>
  <c r="D102" i="12"/>
  <c r="E101" i="12"/>
  <c r="T243" i="7"/>
  <c r="W243" i="7" s="1"/>
  <c r="T234" i="7"/>
  <c r="AA234" i="7" s="1"/>
  <c r="G234" i="7"/>
  <c r="H234" i="7" l="1"/>
  <c r="AA218" i="7"/>
  <c r="W217" i="7"/>
  <c r="AA241" i="7"/>
  <c r="W234" i="7"/>
  <c r="AA243" i="7"/>
  <c r="AB243" i="7" s="1"/>
  <c r="Q243" i="7" s="1"/>
  <c r="I234" i="7" l="1"/>
  <c r="J234" i="7"/>
  <c r="F226" i="7"/>
  <c r="E226" i="7"/>
  <c r="H223" i="7"/>
  <c r="I223" i="7"/>
  <c r="J223" i="7"/>
  <c r="T254" i="7"/>
  <c r="W254" i="7" s="1"/>
  <c r="T224" i="7"/>
  <c r="AA224" i="7" s="1"/>
  <c r="T226" i="7"/>
  <c r="W226" i="7" s="1"/>
  <c r="I226" i="7"/>
  <c r="J224" i="7"/>
  <c r="I224" i="7"/>
  <c r="H224" i="7"/>
  <c r="H226" i="7" l="1"/>
  <c r="E227" i="7"/>
  <c r="J226" i="7"/>
  <c r="F228" i="7"/>
  <c r="W224" i="7"/>
  <c r="AA226" i="7"/>
  <c r="AA254" i="7"/>
  <c r="T280" i="7"/>
  <c r="AA280" i="7" s="1"/>
  <c r="AB280" i="7" s="1"/>
  <c r="Q280" i="7" s="1"/>
  <c r="N232" i="7"/>
  <c r="N245" i="7"/>
  <c r="N270" i="7"/>
  <c r="N276" i="7"/>
  <c r="N277" i="7"/>
  <c r="N278" i="7" s="1"/>
  <c r="E274" i="7"/>
  <c r="D274" i="7" s="1"/>
  <c r="G274" i="7" s="1"/>
  <c r="T272" i="7"/>
  <c r="T273" i="7"/>
  <c r="T274" i="7"/>
  <c r="T276" i="7"/>
  <c r="AA276" i="7" s="1"/>
  <c r="T277" i="7"/>
  <c r="AA277" i="7" s="1"/>
  <c r="F274" i="7"/>
  <c r="J272" i="7"/>
  <c r="I272" i="7"/>
  <c r="H272" i="7"/>
  <c r="J222" i="7"/>
  <c r="H222" i="7"/>
  <c r="W272" i="7" l="1"/>
  <c r="AA272" i="7"/>
  <c r="W274" i="7"/>
  <c r="AA274" i="7"/>
  <c r="W273" i="7"/>
  <c r="AA273" i="7"/>
  <c r="H227" i="7"/>
  <c r="E228" i="7"/>
  <c r="I228" i="7"/>
  <c r="J228" i="7"/>
  <c r="W280" i="7"/>
  <c r="X280" i="7" s="1"/>
  <c r="P280" i="7" s="1"/>
  <c r="J273" i="7"/>
  <c r="J274" i="7" s="1"/>
  <c r="I273" i="7"/>
  <c r="I274" i="7" s="1"/>
  <c r="H273" i="7"/>
  <c r="H274" i="7" s="1"/>
  <c r="K259" i="7"/>
  <c r="K258" i="7"/>
  <c r="H228" i="7" l="1"/>
  <c r="E229" i="7"/>
  <c r="H229" i="7" s="1"/>
  <c r="G259" i="7"/>
  <c r="H259" i="7"/>
  <c r="I259" i="7"/>
  <c r="J259" i="7"/>
  <c r="H258" i="7"/>
  <c r="G258" i="7"/>
  <c r="T258" i="7" l="1"/>
  <c r="W258" i="7" s="1"/>
  <c r="T259" i="7"/>
  <c r="W259" i="7" l="1"/>
  <c r="AA259" i="7"/>
  <c r="AA258" i="7"/>
  <c r="J258" i="7"/>
  <c r="I258" i="7"/>
  <c r="B3" i="8" l="1"/>
  <c r="N174" i="7" l="1"/>
  <c r="N175" i="7"/>
  <c r="N173" i="7"/>
  <c r="E178" i="7" l="1"/>
  <c r="E179" i="7"/>
  <c r="F179" i="7" s="1"/>
  <c r="G179" i="7" s="1"/>
  <c r="H179" i="7" s="1"/>
  <c r="I179" i="7" s="1"/>
  <c r="J179" i="7" s="1"/>
  <c r="K179" i="7" s="1"/>
  <c r="E177" i="7"/>
  <c r="F177" i="7" s="1"/>
  <c r="G177" i="7" s="1"/>
  <c r="H177" i="7" s="1"/>
  <c r="I177" i="7" s="1"/>
  <c r="J177" i="7" s="1"/>
  <c r="K177" i="7" s="1"/>
  <c r="K174" i="7"/>
  <c r="F175" i="7"/>
  <c r="K173" i="7"/>
  <c r="AA174" i="7"/>
  <c r="AB174" i="7" s="1"/>
  <c r="Q174" i="7" s="1"/>
  <c r="AA175" i="7"/>
  <c r="AB175" i="7" s="1"/>
  <c r="Q175" i="7" s="1"/>
  <c r="AA177" i="7"/>
  <c r="AB177" i="7" s="1"/>
  <c r="Q177" i="7" s="1"/>
  <c r="AA178" i="7"/>
  <c r="AB178" i="7" s="1"/>
  <c r="Q178" i="7" s="1"/>
  <c r="AA179" i="7"/>
  <c r="AB179" i="7" s="1"/>
  <c r="Q179" i="7" s="1"/>
  <c r="AA173" i="7"/>
  <c r="AB173" i="7" s="1"/>
  <c r="Q173" i="7" s="1"/>
  <c r="W174" i="7"/>
  <c r="X174" i="7" s="1"/>
  <c r="P174" i="7" s="1"/>
  <c r="W175" i="7"/>
  <c r="X175" i="7" s="1"/>
  <c r="P175" i="7" s="1"/>
  <c r="X177" i="7"/>
  <c r="P177" i="7" s="1"/>
  <c r="X178" i="7"/>
  <c r="P178" i="7" s="1"/>
  <c r="X179" i="7"/>
  <c r="P179" i="7" s="1"/>
  <c r="W173" i="7"/>
  <c r="X173" i="7" s="1"/>
  <c r="P173" i="7" s="1"/>
  <c r="T174" i="7"/>
  <c r="U174" i="7" s="1"/>
  <c r="O174" i="7" s="1"/>
  <c r="T175" i="7"/>
  <c r="U177" i="7"/>
  <c r="O177" i="7" s="1"/>
  <c r="U178" i="7"/>
  <c r="O178" i="7" s="1"/>
  <c r="U179" i="7"/>
  <c r="O179" i="7" s="1"/>
  <c r="T173" i="7"/>
  <c r="U173" i="7" s="1"/>
  <c r="O173" i="7" s="1"/>
  <c r="T266" i="7"/>
  <c r="W266" i="7" s="1"/>
  <c r="G266" i="7"/>
  <c r="H266" i="7"/>
  <c r="I266" i="7"/>
  <c r="J266" i="7" s="1"/>
  <c r="F178" i="7" l="1"/>
  <c r="H175" i="7"/>
  <c r="I175" i="7" s="1"/>
  <c r="J175" i="7" s="1"/>
  <c r="F173" i="7"/>
  <c r="F174" i="7"/>
  <c r="F176" i="7" s="1"/>
  <c r="K175" i="7"/>
  <c r="AA266" i="7"/>
  <c r="G178" i="7" l="1"/>
  <c r="H178" i="7" s="1"/>
  <c r="F180" i="7"/>
  <c r="H174" i="7"/>
  <c r="I174" i="7" s="1"/>
  <c r="J174" i="7" s="1"/>
  <c r="H173" i="7"/>
  <c r="I173" i="7" s="1"/>
  <c r="J173" i="7" s="1"/>
  <c r="I178" i="7" l="1"/>
  <c r="F44" i="5"/>
  <c r="J178" i="7" l="1"/>
  <c r="K178" i="7" l="1"/>
  <c r="N22" i="7"/>
  <c r="N24" i="7"/>
  <c r="N25" i="7"/>
  <c r="N26" i="7"/>
  <c r="N27" i="7"/>
  <c r="N28" i="7" s="1"/>
  <c r="N29" i="7"/>
  <c r="N30" i="7"/>
  <c r="N11" i="7"/>
  <c r="I18" i="12" l="1"/>
  <c r="I19" i="12"/>
  <c r="I20" i="12"/>
  <c r="I21" i="12"/>
  <c r="I22" i="12"/>
  <c r="I17" i="12"/>
  <c r="H17" i="12"/>
  <c r="H18" i="12"/>
  <c r="H19" i="12"/>
  <c r="H20" i="12"/>
  <c r="H21" i="12"/>
  <c r="H22" i="12"/>
  <c r="E16" i="12"/>
  <c r="I16" i="12" s="1"/>
  <c r="H16" i="12" l="1"/>
  <c r="T207" i="7"/>
  <c r="AA207" i="7" s="1"/>
  <c r="W207" i="7" l="1"/>
  <c r="V87" i="5" l="1"/>
  <c r="V86" i="5"/>
  <c r="V84" i="5"/>
  <c r="T298" i="7" l="1"/>
  <c r="G283" i="7" l="1"/>
  <c r="E85" i="7" l="1"/>
  <c r="E180" i="7" s="1"/>
  <c r="F79" i="7"/>
  <c r="E79" i="7" s="1"/>
  <c r="AD3" i="6" l="1"/>
  <c r="AD4" i="6"/>
  <c r="AD5" i="6"/>
  <c r="AD6" i="6"/>
  <c r="AD7" i="6"/>
  <c r="AD8" i="6"/>
  <c r="AD9" i="6"/>
  <c r="AD10" i="6"/>
  <c r="AD2" i="6"/>
  <c r="AC3" i="6"/>
  <c r="AC4" i="6"/>
  <c r="AC5" i="6"/>
  <c r="AC6" i="6"/>
  <c r="AC7" i="6"/>
  <c r="AC8" i="6"/>
  <c r="AC9" i="6"/>
  <c r="AC10" i="6"/>
  <c r="AC2" i="6"/>
  <c r="C72" i="7"/>
  <c r="C89" i="7" s="1"/>
  <c r="C71" i="7"/>
  <c r="C88" i="7" s="1"/>
  <c r="I256" i="7"/>
  <c r="J256" i="7" s="1"/>
  <c r="G256" i="7"/>
  <c r="H256" i="7"/>
  <c r="AA298" i="7" l="1"/>
  <c r="W298" i="7"/>
  <c r="H27" i="5" l="1"/>
  <c r="H26" i="5"/>
  <c r="H23" i="5"/>
  <c r="H24" i="5"/>
  <c r="H22" i="5"/>
  <c r="H21" i="5"/>
  <c r="H12" i="5"/>
  <c r="H13" i="5"/>
  <c r="H14" i="5"/>
  <c r="H15" i="5"/>
  <c r="H16" i="5"/>
  <c r="H17" i="5"/>
  <c r="H18" i="5"/>
  <c r="H19" i="5"/>
  <c r="H20" i="5"/>
  <c r="H11" i="5"/>
  <c r="H7" i="5"/>
  <c r="H8" i="5"/>
  <c r="H9" i="5"/>
  <c r="H6" i="5"/>
  <c r="J1" i="5" l="1"/>
  <c r="J2" i="5" s="1"/>
  <c r="I1" i="5"/>
  <c r="I2" i="5" s="1"/>
  <c r="H1" i="5"/>
  <c r="H2" i="5" s="1"/>
  <c r="I52" i="5" l="1"/>
  <c r="I53" i="5" s="1"/>
  <c r="H52" i="5"/>
  <c r="H53" i="5" s="1"/>
  <c r="J52" i="5"/>
  <c r="J53" i="5" s="1"/>
  <c r="G295" i="7"/>
  <c r="Q127" i="7" l="1"/>
  <c r="Q134" i="7"/>
  <c r="Q135" i="7"/>
  <c r="Q136" i="7"/>
  <c r="N4" i="7"/>
  <c r="O4" i="7"/>
  <c r="P4" i="7"/>
  <c r="Q4" i="7"/>
  <c r="N5" i="7"/>
  <c r="N6" i="7"/>
  <c r="N7" i="7"/>
  <c r="N8" i="7"/>
  <c r="N9" i="7"/>
  <c r="N10" i="7"/>
  <c r="N31" i="7"/>
  <c r="N32" i="7"/>
  <c r="N33" i="7"/>
  <c r="N34" i="7"/>
  <c r="N35" i="7"/>
  <c r="N36" i="7"/>
  <c r="N37" i="7"/>
  <c r="N38" i="7"/>
  <c r="N39" i="7"/>
  <c r="N40" i="7"/>
  <c r="N42" i="7"/>
  <c r="N43" i="7"/>
  <c r="N44" i="7"/>
  <c r="N45" i="7"/>
  <c r="N46" i="7"/>
  <c r="N52" i="7"/>
  <c r="N53" i="7" s="1"/>
  <c r="N54" i="7" s="1"/>
  <c r="N74" i="7"/>
  <c r="N75" i="7" s="1"/>
  <c r="N76" i="7"/>
  <c r="N94" i="7"/>
  <c r="N112" i="7"/>
  <c r="N113" i="7"/>
  <c r="N125" i="7"/>
  <c r="N126" i="7" s="1"/>
  <c r="N146" i="7"/>
  <c r="N147" i="7"/>
  <c r="N148" i="7"/>
  <c r="N149" i="7"/>
  <c r="N150" i="7"/>
  <c r="N151" i="7" s="1"/>
  <c r="N152" i="7" s="1"/>
  <c r="N153" i="7"/>
  <c r="N154" i="7"/>
  <c r="N155" i="7" s="1"/>
  <c r="N156" i="7" s="1"/>
  <c r="N157" i="7" s="1"/>
  <c r="N158" i="7"/>
  <c r="N161" i="7"/>
  <c r="N162" i="7" s="1"/>
  <c r="N163" i="7" s="1"/>
  <c r="N164" i="7" s="1"/>
  <c r="N165" i="7" s="1"/>
  <c r="N166" i="7"/>
  <c r="N169" i="7"/>
  <c r="N170" i="7"/>
  <c r="N171" i="7"/>
  <c r="N172" i="7"/>
  <c r="N215" i="7"/>
  <c r="T221" i="7"/>
  <c r="AA221" i="7" s="1"/>
  <c r="W221" i="7" l="1"/>
  <c r="Z1" i="7"/>
  <c r="S300" i="7" l="1"/>
  <c r="M4" i="7" l="1"/>
  <c r="M5" i="7" s="1"/>
  <c r="M6" i="7" s="1"/>
  <c r="M7" i="7" s="1"/>
  <c r="M8" i="7" s="1"/>
  <c r="M9" i="7" s="1"/>
  <c r="M10" i="7" s="1"/>
  <c r="M11" i="7" s="1"/>
  <c r="M12" i="7" s="1"/>
  <c r="M13" i="7" s="1"/>
  <c r="M14" i="7" s="1"/>
  <c r="M15" i="7" s="1"/>
  <c r="M16" i="7" s="1"/>
  <c r="M17" i="7" s="1"/>
  <c r="M18" i="7" s="1"/>
  <c r="M19" i="7" s="1"/>
  <c r="M20" i="7" s="1"/>
  <c r="M21" i="7" s="1"/>
  <c r="T283" i="7" l="1"/>
  <c r="AA283" i="7" s="1"/>
  <c r="W283" i="7" l="1"/>
  <c r="E40" i="7"/>
  <c r="F40" i="7" s="1"/>
  <c r="G40" i="7" s="1"/>
  <c r="H40" i="7" s="1"/>
  <c r="I40" i="7" s="1"/>
  <c r="J40" i="7" s="1"/>
  <c r="H286" i="7" l="1"/>
  <c r="H287" i="7"/>
  <c r="H288" i="7"/>
  <c r="H289" i="7"/>
  <c r="H290" i="7"/>
  <c r="H291" i="7"/>
  <c r="H292" i="7"/>
  <c r="H293" i="7"/>
  <c r="H294" i="7"/>
  <c r="H295" i="7"/>
  <c r="H296" i="7"/>
  <c r="G206" i="7" l="1"/>
  <c r="H185" i="7" l="1"/>
  <c r="H186" i="7"/>
  <c r="H187" i="7"/>
  <c r="H192" i="7"/>
  <c r="H193" i="7"/>
  <c r="H183" i="7"/>
  <c r="I183" i="7" s="1"/>
  <c r="J183" i="7" s="1"/>
  <c r="I79" i="7" l="1"/>
  <c r="I85" i="7"/>
  <c r="I180" i="7" s="1"/>
  <c r="H102" i="7" l="1"/>
  <c r="I102" i="7" s="1"/>
  <c r="H103" i="7"/>
  <c r="I103" i="7" s="1"/>
  <c r="E111" i="7"/>
  <c r="E110" i="7"/>
  <c r="F102" i="7"/>
  <c r="K102" i="7" s="1"/>
  <c r="H110" i="7" l="1"/>
  <c r="K103" i="7"/>
  <c r="K111" i="7" s="1"/>
  <c r="K110" i="7"/>
  <c r="F110" i="7"/>
  <c r="J103" i="7"/>
  <c r="J111" i="7" s="1"/>
  <c r="I111" i="7"/>
  <c r="I110" i="7"/>
  <c r="J102" i="7"/>
  <c r="J110" i="7" s="1"/>
  <c r="H111" i="7"/>
  <c r="D161" i="7" l="1"/>
  <c r="E161" i="7" s="1"/>
  <c r="F161" i="7" s="1"/>
  <c r="G161" i="7" s="1"/>
  <c r="H161" i="7" s="1"/>
  <c r="I161" i="7" s="1"/>
  <c r="J161" i="7" s="1"/>
  <c r="K161" i="7" s="1"/>
  <c r="F78" i="7"/>
  <c r="E78" i="7" s="1"/>
  <c r="J62" i="7"/>
  <c r="K62" i="7" s="1"/>
  <c r="J64" i="7"/>
  <c r="J66" i="7"/>
  <c r="J68" i="7"/>
  <c r="J61" i="7"/>
  <c r="K61" i="7" s="1"/>
  <c r="F67" i="7"/>
  <c r="J67" i="7" s="1"/>
  <c r="F65" i="7"/>
  <c r="J65" i="7" s="1"/>
  <c r="F63" i="7"/>
  <c r="J63" i="7" s="1"/>
  <c r="K63" i="7" s="1"/>
  <c r="J79" i="7"/>
  <c r="E10" i="7"/>
  <c r="E16" i="7"/>
  <c r="E18" i="7" s="1"/>
  <c r="E17" i="7"/>
  <c r="E27" i="7"/>
  <c r="E28" i="7" s="1"/>
  <c r="E31" i="7"/>
  <c r="E32" i="7"/>
  <c r="E39" i="7"/>
  <c r="E42" i="7"/>
  <c r="E43" i="7"/>
  <c r="E45" i="7"/>
  <c r="E46" i="7"/>
  <c r="E48" i="7" s="1"/>
  <c r="E55" i="7"/>
  <c r="E109" i="7"/>
  <c r="E126" i="7"/>
  <c r="E151" i="7"/>
  <c r="E152" i="7" s="1"/>
  <c r="E153" i="7"/>
  <c r="E158" i="7"/>
  <c r="E166" i="7" s="1"/>
  <c r="E199" i="7"/>
  <c r="E215" i="7"/>
  <c r="E235" i="7"/>
  <c r="E242" i="7"/>
  <c r="E243" i="7" s="1"/>
  <c r="E251" i="7"/>
  <c r="E253" i="7"/>
  <c r="H91" i="7"/>
  <c r="I91" i="7" s="1"/>
  <c r="J91" i="7" s="1"/>
  <c r="H90" i="7"/>
  <c r="I90" i="7" s="1"/>
  <c r="J90" i="7" s="1"/>
  <c r="F122" i="7"/>
  <c r="H122" i="7"/>
  <c r="I122" i="7"/>
  <c r="J122" i="7"/>
  <c r="K122" i="7"/>
  <c r="F123" i="7"/>
  <c r="H123" i="7"/>
  <c r="I123" i="7"/>
  <c r="J123" i="7"/>
  <c r="K123" i="7"/>
  <c r="J71" i="7"/>
  <c r="K71" i="7" s="1"/>
  <c r="J72" i="7"/>
  <c r="K72" i="7" s="1"/>
  <c r="J73" i="7"/>
  <c r="J70" i="7"/>
  <c r="K70" i="7" s="1"/>
  <c r="J85" i="7"/>
  <c r="K85" i="7" l="1"/>
  <c r="J180" i="7"/>
  <c r="K68" i="7"/>
  <c r="K176" i="7" s="1"/>
  <c r="J176" i="7"/>
  <c r="I89" i="7"/>
  <c r="J89" i="7" s="1"/>
  <c r="K89" i="7" s="1"/>
  <c r="I88" i="7"/>
  <c r="J88" i="7" s="1"/>
  <c r="K88" i="7" s="1"/>
  <c r="F80" i="7"/>
  <c r="E80" i="7" s="1"/>
  <c r="E29" i="7"/>
  <c r="I78" i="7"/>
  <c r="J78" i="7" s="1"/>
  <c r="F158" i="7"/>
  <c r="G158" i="7" s="1"/>
  <c r="H158" i="7" s="1"/>
  <c r="I158" i="7" s="1"/>
  <c r="J158" i="7" s="1"/>
  <c r="K158" i="7" s="1"/>
  <c r="E50" i="7"/>
  <c r="I265" i="7"/>
  <c r="J265" i="7" s="1"/>
  <c r="G265" i="7"/>
  <c r="H51" i="7"/>
  <c r="I51" i="7" s="1"/>
  <c r="J51" i="7" s="1"/>
  <c r="I186" i="7"/>
  <c r="J186" i="7" s="1"/>
  <c r="H206" i="7"/>
  <c r="I206" i="7" s="1"/>
  <c r="J206" i="7" s="1"/>
  <c r="I185" i="7"/>
  <c r="J185" i="7" s="1"/>
  <c r="I193" i="7"/>
  <c r="J193" i="7" s="1"/>
  <c r="I192" i="7"/>
  <c r="J192" i="7" s="1"/>
  <c r="I80" i="7" l="1"/>
  <c r="J80" i="7" s="1"/>
  <c r="T257" i="7" l="1"/>
  <c r="AA257" i="7" s="1"/>
  <c r="W257" i="7" l="1"/>
  <c r="F297" i="7"/>
  <c r="H297" i="7" s="1"/>
  <c r="I296" i="7"/>
  <c r="C295" i="7"/>
  <c r="T295" i="7" s="1"/>
  <c r="I295" i="7"/>
  <c r="J295" i="7" s="1"/>
  <c r="K295" i="7" s="1"/>
  <c r="C297" i="7"/>
  <c r="T297" i="7" s="1"/>
  <c r="I297" i="7" l="1"/>
  <c r="J297" i="7" s="1"/>
  <c r="K297" i="7" s="1"/>
  <c r="AA297" i="7"/>
  <c r="W295" i="7"/>
  <c r="AA295" i="7"/>
  <c r="W297" i="7"/>
  <c r="T205" i="7"/>
  <c r="AA205" i="7" s="1"/>
  <c r="W205" i="7" l="1"/>
  <c r="J296" i="7"/>
  <c r="K296" i="7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H10" i="7"/>
  <c r="I10" i="7" s="1"/>
  <c r="G10" i="7"/>
  <c r="J10" i="7"/>
  <c r="H13" i="7"/>
  <c r="I13" i="7" s="1"/>
  <c r="J13" i="7" s="1"/>
  <c r="H15" i="7"/>
  <c r="I15" i="7" s="1"/>
  <c r="G16" i="7"/>
  <c r="G20" i="7" s="1"/>
  <c r="H16" i="7"/>
  <c r="G17" i="7"/>
  <c r="G21" i="7" s="1"/>
  <c r="H17" i="7"/>
  <c r="D18" i="7"/>
  <c r="D19" i="7" s="1"/>
  <c r="E19" i="7" s="1"/>
  <c r="G19" i="7" s="1"/>
  <c r="H19" i="7" s="1"/>
  <c r="C26" i="7"/>
  <c r="D28" i="7"/>
  <c r="D29" i="7"/>
  <c r="D30" i="7"/>
  <c r="E30" i="7" s="1"/>
  <c r="D31" i="7"/>
  <c r="F31" i="7"/>
  <c r="G31" i="7"/>
  <c r="H31" i="7"/>
  <c r="I31" i="7"/>
  <c r="J31" i="7"/>
  <c r="D32" i="7"/>
  <c r="F32" i="7"/>
  <c r="G32" i="7"/>
  <c r="H32" i="7"/>
  <c r="I32" i="7"/>
  <c r="J32" i="7"/>
  <c r="F33" i="7"/>
  <c r="G33" i="7"/>
  <c r="H33" i="7"/>
  <c r="I33" i="7"/>
  <c r="J33" i="7"/>
  <c r="F34" i="7"/>
  <c r="F35" i="7" s="1"/>
  <c r="G34" i="7"/>
  <c r="G35" i="7" s="1"/>
  <c r="H34" i="7"/>
  <c r="H35" i="7" s="1"/>
  <c r="I34" i="7"/>
  <c r="I35" i="7" s="1"/>
  <c r="J34" i="7"/>
  <c r="J35" i="7" s="1"/>
  <c r="D37" i="7"/>
  <c r="E37" i="7" s="1"/>
  <c r="D50" i="7"/>
  <c r="K64" i="7"/>
  <c r="K66" i="7"/>
  <c r="J69" i="7"/>
  <c r="K69" i="7" s="1"/>
  <c r="K73" i="7"/>
  <c r="J74" i="7"/>
  <c r="F75" i="7"/>
  <c r="F93" i="7" s="1"/>
  <c r="I93" i="7" s="1"/>
  <c r="K77" i="7"/>
  <c r="F81" i="7"/>
  <c r="E81" i="7" s="1"/>
  <c r="F83" i="7"/>
  <c r="E83" i="7" s="1"/>
  <c r="K91" i="7"/>
  <c r="F92" i="7"/>
  <c r="F103" i="7" s="1"/>
  <c r="F111" i="7" s="1"/>
  <c r="C100" i="7"/>
  <c r="C101" i="7"/>
  <c r="C102" i="7"/>
  <c r="C103" i="7"/>
  <c r="C108" i="7"/>
  <c r="C109" i="7"/>
  <c r="C110" i="7"/>
  <c r="C111" i="7"/>
  <c r="C118" i="7"/>
  <c r="C124" i="7"/>
  <c r="C128" i="7"/>
  <c r="F142" i="7"/>
  <c r="J142" i="7" s="1"/>
  <c r="K142" i="7" s="1"/>
  <c r="C134" i="7"/>
  <c r="C143" i="7" s="1"/>
  <c r="C135" i="7"/>
  <c r="C144" i="7" s="1"/>
  <c r="C137" i="7"/>
  <c r="C138" i="7"/>
  <c r="C139" i="7"/>
  <c r="C140" i="7"/>
  <c r="C141" i="7"/>
  <c r="J145" i="7"/>
  <c r="C153" i="7"/>
  <c r="C161" i="7"/>
  <c r="D166" i="7"/>
  <c r="D167" i="7" s="1"/>
  <c r="F242" i="7"/>
  <c r="F243" i="7" s="1"/>
  <c r="H242" i="7"/>
  <c r="H243" i="7" s="1"/>
  <c r="I242" i="7"/>
  <c r="I243" i="7" s="1"/>
  <c r="J242" i="7"/>
  <c r="J243" i="7" s="1"/>
  <c r="D251" i="7"/>
  <c r="F251" i="7"/>
  <c r="G251" i="7"/>
  <c r="H251" i="7"/>
  <c r="I251" i="7"/>
  <c r="J251" i="7"/>
  <c r="D253" i="7"/>
  <c r="F253" i="7"/>
  <c r="G253" i="7"/>
  <c r="H253" i="7"/>
  <c r="I253" i="7"/>
  <c r="J253" i="7"/>
  <c r="K284" i="7"/>
  <c r="K285" i="7"/>
  <c r="J286" i="7"/>
  <c r="I287" i="7"/>
  <c r="I288" i="7"/>
  <c r="J288" i="7" s="1"/>
  <c r="K288" i="7" s="1"/>
  <c r="I289" i="7"/>
  <c r="I290" i="7"/>
  <c r="J290" i="7" s="1"/>
  <c r="K290" i="7" s="1"/>
  <c r="I291" i="7"/>
  <c r="J291" i="7" s="1"/>
  <c r="K291" i="7" s="1"/>
  <c r="C292" i="7"/>
  <c r="I292" i="7"/>
  <c r="C293" i="7"/>
  <c r="J293" i="7"/>
  <c r="K293" i="7" s="1"/>
  <c r="C294" i="7"/>
  <c r="J294" i="7"/>
  <c r="K294" i="7" s="1"/>
  <c r="C296" i="7"/>
  <c r="M22" i="7" l="1"/>
  <c r="D168" i="7"/>
  <c r="E167" i="7"/>
  <c r="C168" i="7"/>
  <c r="T168" i="7" s="1"/>
  <c r="C160" i="7"/>
  <c r="T160" i="7" s="1"/>
  <c r="C167" i="7"/>
  <c r="T167" i="7" s="1"/>
  <c r="C159" i="7"/>
  <c r="T159" i="7" s="1"/>
  <c r="I81" i="7"/>
  <c r="J81" i="7" s="1"/>
  <c r="K81" i="7" s="1"/>
  <c r="F86" i="7"/>
  <c r="E86" i="7" s="1"/>
  <c r="I83" i="7"/>
  <c r="J83" i="7" s="1"/>
  <c r="K83" i="7" s="1"/>
  <c r="G18" i="7"/>
  <c r="J92" i="7"/>
  <c r="K74" i="7"/>
  <c r="K92" i="7" s="1"/>
  <c r="K80" i="7"/>
  <c r="K79" i="7"/>
  <c r="K78" i="7"/>
  <c r="K287" i="7"/>
  <c r="J287" i="7"/>
  <c r="F82" i="7"/>
  <c r="E82" i="7" s="1"/>
  <c r="F84" i="7"/>
  <c r="E84" i="7" s="1"/>
  <c r="I92" i="7"/>
  <c r="J75" i="7"/>
  <c r="I286" i="7"/>
  <c r="K286" i="7" s="1"/>
  <c r="K67" i="7"/>
  <c r="K65" i="7"/>
  <c r="H18" i="7"/>
  <c r="H20" i="7"/>
  <c r="M23" i="7" l="1"/>
  <c r="F167" i="7"/>
  <c r="E168" i="7"/>
  <c r="AA159" i="7"/>
  <c r="W159" i="7"/>
  <c r="AA160" i="7"/>
  <c r="W160" i="7"/>
  <c r="AA167" i="7"/>
  <c r="W167" i="7"/>
  <c r="AA168" i="7"/>
  <c r="W168" i="7"/>
  <c r="Q17" i="3"/>
  <c r="V23" i="7"/>
  <c r="S23" i="7"/>
  <c r="Z23" i="7" s="1"/>
  <c r="I84" i="7"/>
  <c r="J84" i="7" s="1"/>
  <c r="K84" i="7" s="1"/>
  <c r="I82" i="7"/>
  <c r="J82" i="7" s="1"/>
  <c r="K82" i="7" s="1"/>
  <c r="F87" i="7"/>
  <c r="E87" i="7" s="1"/>
  <c r="I86" i="7"/>
  <c r="J86" i="7" s="1"/>
  <c r="K86" i="7" s="1"/>
  <c r="J93" i="7"/>
  <c r="K75" i="7"/>
  <c r="K93" i="7"/>
  <c r="M24" i="7" l="1"/>
  <c r="F168" i="7"/>
  <c r="G167" i="7"/>
  <c r="I87" i="7"/>
  <c r="J87" i="7" s="1"/>
  <c r="K87" i="7" s="1"/>
  <c r="M25" i="7" l="1"/>
  <c r="G168" i="7"/>
  <c r="H167" i="7"/>
  <c r="AC33" i="6"/>
  <c r="M26" i="7" l="1"/>
  <c r="H168" i="7"/>
  <c r="I167" i="7"/>
  <c r="M27" i="7" l="1"/>
  <c r="I168" i="7"/>
  <c r="J167" i="7"/>
  <c r="U175" i="7"/>
  <c r="O175" i="7" s="1"/>
  <c r="M28" i="7" l="1"/>
  <c r="J168" i="7"/>
  <c r="K167" i="7"/>
  <c r="K168" i="7" s="1"/>
  <c r="AB18" i="3"/>
  <c r="AB34" i="3" s="1"/>
  <c r="M29" i="7" l="1"/>
  <c r="AB1" i="3"/>
  <c r="M30" i="7" l="1"/>
  <c r="U46" i="5"/>
  <c r="M31" i="7" l="1"/>
  <c r="U172" i="7"/>
  <c r="O172" i="7" s="1"/>
  <c r="M32" i="7" l="1"/>
  <c r="I64" i="12"/>
  <c r="H64" i="12"/>
  <c r="E64" i="12"/>
  <c r="M33" i="7" l="1"/>
  <c r="G57" i="12"/>
  <c r="H57" i="12" s="1"/>
  <c r="I57" i="12" s="1"/>
  <c r="E60" i="12"/>
  <c r="G60" i="12" s="1"/>
  <c r="H60" i="12" s="1"/>
  <c r="I60" i="12" s="1"/>
  <c r="E59" i="12"/>
  <c r="E58" i="12"/>
  <c r="E56" i="12"/>
  <c r="H11" i="12"/>
  <c r="H10" i="12"/>
  <c r="H12" i="12"/>
  <c r="E23" i="12"/>
  <c r="M34" i="7" l="1"/>
  <c r="I23" i="12"/>
  <c r="H23" i="12"/>
  <c r="G56" i="12"/>
  <c r="G63" i="12" s="1"/>
  <c r="E63" i="12"/>
  <c r="G59" i="12"/>
  <c r="H59" i="12" s="1"/>
  <c r="I59" i="12" s="1"/>
  <c r="I66" i="12"/>
  <c r="H66" i="12"/>
  <c r="G58" i="12"/>
  <c r="H58" i="12" s="1"/>
  <c r="I58" i="12" s="1"/>
  <c r="H65" i="12"/>
  <c r="E65" i="12"/>
  <c r="I65" i="12"/>
  <c r="H56" i="12"/>
  <c r="M35" i="7" l="1"/>
  <c r="G55" i="12"/>
  <c r="H55" i="12" s="1"/>
  <c r="I55" i="12" s="1"/>
  <c r="I56" i="12"/>
  <c r="I63" i="12" s="1"/>
  <c r="H63" i="12"/>
  <c r="Z86" i="5"/>
  <c r="Y87" i="5"/>
  <c r="M36" i="7" l="1"/>
  <c r="M37" i="7" l="1"/>
  <c r="M38" i="7" l="1"/>
  <c r="M39" i="7" l="1"/>
  <c r="AB32" i="6"/>
  <c r="M40" i="7" l="1"/>
  <c r="AA61" i="7"/>
  <c r="W62" i="7"/>
  <c r="W63" i="7"/>
  <c r="S41" i="7" l="1"/>
  <c r="M41" i="7"/>
  <c r="V41" i="7"/>
  <c r="X41" i="7" s="1"/>
  <c r="P41" i="7" s="1"/>
  <c r="AA62" i="7"/>
  <c r="AA63" i="7"/>
  <c r="T61" i="5"/>
  <c r="Z41" i="7" l="1"/>
  <c r="AB41" i="7" s="1"/>
  <c r="Q41" i="7" s="1"/>
  <c r="U41" i="7"/>
  <c r="S42" i="7"/>
  <c r="M42" i="7"/>
  <c r="V42" i="7"/>
  <c r="T62" i="5"/>
  <c r="U50" i="5"/>
  <c r="M43" i="7" l="1"/>
  <c r="M44" i="7" l="1"/>
  <c r="M47" i="7" l="1"/>
  <c r="M45" i="7"/>
  <c r="Z60" i="5"/>
  <c r="T145" i="7"/>
  <c r="M48" i="7" l="1"/>
  <c r="S47" i="7"/>
  <c r="Z47" i="7" s="1"/>
  <c r="V47" i="7"/>
  <c r="M46" i="7"/>
  <c r="U145" i="7"/>
  <c r="O145" i="7" s="1"/>
  <c r="AA145" i="7"/>
  <c r="AB145" i="7" s="1"/>
  <c r="Q145" i="7" s="1"/>
  <c r="W145" i="7"/>
  <c r="X145" i="7" s="1"/>
  <c r="P145" i="7" s="1"/>
  <c r="W79" i="7"/>
  <c r="W80" i="7"/>
  <c r="W81" i="7"/>
  <c r="S48" i="7" l="1"/>
  <c r="Z48" i="7" s="1"/>
  <c r="V48" i="7"/>
  <c r="AA81" i="7"/>
  <c r="AA80" i="7"/>
  <c r="AA79" i="7"/>
  <c r="S49" i="7" l="1"/>
  <c r="M49" i="7"/>
  <c r="M50" i="7"/>
  <c r="V56" i="5"/>
  <c r="V55" i="5"/>
  <c r="M51" i="7" l="1"/>
  <c r="S25" i="5"/>
  <c r="M52" i="7" l="1"/>
  <c r="M53" i="7" l="1"/>
  <c r="U47" i="5"/>
  <c r="M54" i="7" l="1"/>
  <c r="M55" i="7"/>
  <c r="U49" i="5"/>
  <c r="M56" i="7" l="1"/>
  <c r="F66" i="5"/>
  <c r="B66" i="5"/>
  <c r="D66" i="5"/>
  <c r="G62" i="12"/>
  <c r="G61" i="12"/>
  <c r="F64" i="12"/>
  <c r="G64" i="12"/>
  <c r="G54" i="12"/>
  <c r="I53" i="12"/>
  <c r="H67" i="12" s="1"/>
  <c r="H13" i="12"/>
  <c r="M57" i="7" l="1"/>
  <c r="H54" i="12"/>
  <c r="I54" i="12"/>
  <c r="V85" i="5"/>
  <c r="X87" i="5"/>
  <c r="X85" i="5"/>
  <c r="Z89" i="5"/>
  <c r="U89" i="5"/>
  <c r="V89" i="5"/>
  <c r="W89" i="5"/>
  <c r="X89" i="5"/>
  <c r="Y89" i="5"/>
  <c r="Z87" i="5"/>
  <c r="X71" i="5"/>
  <c r="Y71" i="5" s="1"/>
  <c r="V71" i="5"/>
  <c r="W71" i="5" s="1"/>
  <c r="T71" i="5"/>
  <c r="U71" i="5" s="1"/>
  <c r="Y85" i="5" l="1"/>
  <c r="M58" i="7" l="1"/>
  <c r="S59" i="7" l="1"/>
  <c r="Z59" i="7" s="1"/>
  <c r="V59" i="7"/>
  <c r="M59" i="7"/>
  <c r="V60" i="7" l="1"/>
  <c r="M60" i="7"/>
  <c r="T72" i="7"/>
  <c r="AA72" i="7" s="1"/>
  <c r="AB72" i="7" s="1"/>
  <c r="Q72" i="7" s="1"/>
  <c r="M61" i="7" l="1"/>
  <c r="U72" i="7"/>
  <c r="O72" i="7" s="1"/>
  <c r="W72" i="7"/>
  <c r="X72" i="7" s="1"/>
  <c r="P72" i="7" s="1"/>
  <c r="M62" i="7" l="1"/>
  <c r="T245" i="7"/>
  <c r="M63" i="7" l="1"/>
  <c r="L36" i="3"/>
  <c r="L20" i="3"/>
  <c r="L4" i="3"/>
  <c r="M64" i="7" l="1"/>
  <c r="T111" i="7"/>
  <c r="T109" i="7"/>
  <c r="W109" i="7" s="1"/>
  <c r="T110" i="7"/>
  <c r="M65" i="7" l="1"/>
  <c r="AA111" i="7"/>
  <c r="W111" i="7"/>
  <c r="W110" i="7"/>
  <c r="AA110" i="7"/>
  <c r="AA109" i="7"/>
  <c r="M66" i="7" l="1"/>
  <c r="T103" i="7"/>
  <c r="T101" i="7"/>
  <c r="W101" i="7" s="1"/>
  <c r="T102" i="7"/>
  <c r="T16" i="11"/>
  <c r="T17" i="11"/>
  <c r="T20" i="11"/>
  <c r="T21" i="11"/>
  <c r="T22" i="11"/>
  <c r="T23" i="11"/>
  <c r="T24" i="11"/>
  <c r="T25" i="11"/>
  <c r="T26" i="11"/>
  <c r="T27" i="11"/>
  <c r="T30" i="11"/>
  <c r="T37" i="11"/>
  <c r="T38" i="11"/>
  <c r="T39" i="11"/>
  <c r="T40" i="11"/>
  <c r="T41" i="11"/>
  <c r="T42" i="11"/>
  <c r="T44" i="11"/>
  <c r="T45" i="11"/>
  <c r="R17" i="11"/>
  <c r="S17" i="11"/>
  <c r="R20" i="11"/>
  <c r="S20" i="11"/>
  <c r="R21" i="11"/>
  <c r="S21" i="11"/>
  <c r="R22" i="11"/>
  <c r="S22" i="11"/>
  <c r="R23" i="11"/>
  <c r="S23" i="11"/>
  <c r="R24" i="11"/>
  <c r="S24" i="11"/>
  <c r="R25" i="11"/>
  <c r="S25" i="11"/>
  <c r="R26" i="11"/>
  <c r="S26" i="11"/>
  <c r="R27" i="11"/>
  <c r="S27" i="11"/>
  <c r="R30" i="11"/>
  <c r="S30" i="11"/>
  <c r="R37" i="11"/>
  <c r="S37" i="11"/>
  <c r="R38" i="11"/>
  <c r="S38" i="11"/>
  <c r="R39" i="11"/>
  <c r="S39" i="11"/>
  <c r="R40" i="11"/>
  <c r="S40" i="11"/>
  <c r="R41" i="11"/>
  <c r="S41" i="11"/>
  <c r="R42" i="11"/>
  <c r="S42" i="11"/>
  <c r="R44" i="11"/>
  <c r="S44" i="11"/>
  <c r="R45" i="11"/>
  <c r="S45" i="11"/>
  <c r="S16" i="11"/>
  <c r="M67" i="7" l="1"/>
  <c r="AA102" i="7"/>
  <c r="W102" i="7"/>
  <c r="AA101" i="7"/>
  <c r="W103" i="7"/>
  <c r="AA103" i="7"/>
  <c r="M68" i="7" l="1"/>
  <c r="Q26" i="11"/>
  <c r="Q27" i="11"/>
  <c r="Q30" i="11"/>
  <c r="Q37" i="11"/>
  <c r="Q38" i="11"/>
  <c r="Q39" i="11"/>
  <c r="Q40" i="11"/>
  <c r="Q41" i="11"/>
  <c r="Q42" i="11"/>
  <c r="Q44" i="11"/>
  <c r="Q45" i="11"/>
  <c r="M69" i="7" l="1"/>
  <c r="F40" i="3"/>
  <c r="F24" i="3"/>
  <c r="F8" i="3"/>
  <c r="U7" i="3" l="1"/>
  <c r="T7" i="3" s="1"/>
  <c r="M70" i="7"/>
  <c r="AB264" i="7"/>
  <c r="Q264" i="7" s="1"/>
  <c r="AB262" i="7"/>
  <c r="Q262" i="7" s="1"/>
  <c r="X263" i="7"/>
  <c r="P263" i="7" s="1"/>
  <c r="X264" i="7"/>
  <c r="P264" i="7" s="1"/>
  <c r="X262" i="7"/>
  <c r="P262" i="7" s="1"/>
  <c r="H111" i="12"/>
  <c r="G111" i="12"/>
  <c r="F111" i="12"/>
  <c r="O262" i="7"/>
  <c r="AB261" i="7"/>
  <c r="Q261" i="7" s="1"/>
  <c r="AB260" i="7"/>
  <c r="Q260" i="7" s="1"/>
  <c r="X260" i="7"/>
  <c r="P260" i="7" s="1"/>
  <c r="X261" i="7"/>
  <c r="P261" i="7" s="1"/>
  <c r="U261" i="7"/>
  <c r="O261" i="7" s="1"/>
  <c r="U260" i="7"/>
  <c r="O260" i="7" s="1"/>
  <c r="AB259" i="7"/>
  <c r="Q259" i="7" s="1"/>
  <c r="AB258" i="7"/>
  <c r="Q258" i="7" s="1"/>
  <c r="AB257" i="7"/>
  <c r="X258" i="7"/>
  <c r="P258" i="7" s="1"/>
  <c r="X259" i="7"/>
  <c r="P259" i="7" s="1"/>
  <c r="X257" i="7"/>
  <c r="P257" i="7" s="1"/>
  <c r="U254" i="7"/>
  <c r="O254" i="7" s="1"/>
  <c r="U259" i="7"/>
  <c r="O259" i="7" s="1"/>
  <c r="U257" i="7"/>
  <c r="O257" i="7" s="1"/>
  <c r="X254" i="7"/>
  <c r="P254" i="7" s="1"/>
  <c r="AB254" i="7"/>
  <c r="Q254" i="7" s="1"/>
  <c r="Y25" i="5"/>
  <c r="V25" i="5"/>
  <c r="M71" i="7" l="1"/>
  <c r="U238" i="7"/>
  <c r="U23" i="3"/>
  <c r="U39" i="3"/>
  <c r="Z5" i="5"/>
  <c r="W5" i="5"/>
  <c r="T5" i="5"/>
  <c r="T208" i="7"/>
  <c r="T189" i="7"/>
  <c r="T268" i="7"/>
  <c r="W268" i="7" l="1"/>
  <c r="U268" i="7"/>
  <c r="M72" i="7"/>
  <c r="AB234" i="7"/>
  <c r="Q234" i="7" s="1"/>
  <c r="AB238" i="7"/>
  <c r="T23" i="3"/>
  <c r="X238" i="7"/>
  <c r="T39" i="3"/>
  <c r="X234" i="7"/>
  <c r="P234" i="7" s="1"/>
  <c r="W208" i="7"/>
  <c r="AA208" i="7"/>
  <c r="W189" i="7"/>
  <c r="AA189" i="7"/>
  <c r="AA268" i="7"/>
  <c r="G24" i="2"/>
  <c r="F24" i="2"/>
  <c r="D24" i="2"/>
  <c r="M73" i="7" l="1"/>
  <c r="N57" i="10"/>
  <c r="O57" i="10" s="1"/>
  <c r="P57" i="10"/>
  <c r="P28" i="10"/>
  <c r="N28" i="10"/>
  <c r="O28" i="10" s="1"/>
  <c r="P1" i="10"/>
  <c r="N1" i="10"/>
  <c r="O1" i="10" s="1"/>
  <c r="A81" i="10"/>
  <c r="A51" i="10"/>
  <c r="A23" i="10"/>
  <c r="M74" i="7" l="1"/>
  <c r="L41" i="3"/>
  <c r="T15" i="6"/>
  <c r="M75" i="7" l="1"/>
  <c r="L43" i="3"/>
  <c r="L27" i="3"/>
  <c r="L25" i="3"/>
  <c r="L11" i="3"/>
  <c r="L9" i="3"/>
  <c r="T119" i="7"/>
  <c r="AA119" i="7" s="1"/>
  <c r="M76" i="7" l="1"/>
  <c r="W119" i="7"/>
  <c r="M77" i="7" l="1"/>
  <c r="G13" i="12"/>
  <c r="G14" i="12"/>
  <c r="H14" i="12"/>
  <c r="D14" i="12"/>
  <c r="E14" i="12"/>
  <c r="M78" i="7" l="1"/>
  <c r="F79" i="5"/>
  <c r="AB54" i="7" s="1"/>
  <c r="Q54" i="7" s="1"/>
  <c r="D79" i="5"/>
  <c r="X54" i="7" s="1"/>
  <c r="P54" i="7" s="1"/>
  <c r="B79" i="5"/>
  <c r="U54" i="7" s="1"/>
  <c r="O54" i="7" s="1"/>
  <c r="M79" i="7" l="1"/>
  <c r="B65" i="5"/>
  <c r="D65" i="5"/>
  <c r="F65" i="5"/>
  <c r="M80" i="7" l="1"/>
  <c r="M81" i="7" l="1"/>
  <c r="M82" i="7" l="1"/>
  <c r="M83" i="7" l="1"/>
  <c r="A34" i="3"/>
  <c r="A18" i="3"/>
  <c r="B33" i="3"/>
  <c r="B17" i="3"/>
  <c r="M84" i="7" l="1"/>
  <c r="G3" i="8"/>
  <c r="F3" i="8"/>
  <c r="E3" i="11"/>
  <c r="M85" i="7" l="1"/>
  <c r="U1" i="7"/>
  <c r="M86" i="7" l="1"/>
  <c r="U10" i="7"/>
  <c r="O10" i="7" s="1"/>
  <c r="M87" i="7" l="1"/>
  <c r="L32" i="12"/>
  <c r="M88" i="7" l="1"/>
  <c r="K22" i="12"/>
  <c r="M89" i="7" l="1"/>
  <c r="B12" i="12"/>
  <c r="M90" i="7" l="1"/>
  <c r="T90" i="7"/>
  <c r="M91" i="7" l="1"/>
  <c r="W90" i="7"/>
  <c r="AA90" i="7"/>
  <c r="M92" i="7" l="1"/>
  <c r="G4" i="3"/>
  <c r="H4" i="3"/>
  <c r="H3" i="3"/>
  <c r="L6" i="3"/>
  <c r="N7" i="3"/>
  <c r="M8" i="3"/>
  <c r="V5" i="3"/>
  <c r="W5" i="3"/>
  <c r="V6" i="3"/>
  <c r="W6" i="3" s="1"/>
  <c r="Z9" i="3"/>
  <c r="Y14" i="3"/>
  <c r="M93" i="7" l="1"/>
  <c r="E4" i="11"/>
  <c r="D4" i="11"/>
  <c r="U146" i="7"/>
  <c r="BK3" i="8"/>
  <c r="BM3" i="8" s="1"/>
  <c r="U245" i="7"/>
  <c r="O245" i="7" s="1"/>
  <c r="M94" i="7" l="1"/>
  <c r="F4" i="11"/>
  <c r="AI3" i="8"/>
  <c r="U283" i="7" s="1"/>
  <c r="O283" i="7" s="1"/>
  <c r="W245" i="7"/>
  <c r="AA245" i="7"/>
  <c r="AB245" i="7" s="1"/>
  <c r="Q245" i="7" s="1"/>
  <c r="M95" i="7" l="1"/>
  <c r="U297" i="7"/>
  <c r="O297" i="7" s="1"/>
  <c r="T215" i="7"/>
  <c r="T222" i="7"/>
  <c r="T223" i="7"/>
  <c r="AE3" i="8"/>
  <c r="AK41" i="3"/>
  <c r="AK25" i="3"/>
  <c r="AK35" i="3"/>
  <c r="AK34" i="3"/>
  <c r="AK19" i="3"/>
  <c r="AK18" i="3"/>
  <c r="AK3" i="3"/>
  <c r="M96" i="7" l="1"/>
  <c r="W215" i="7"/>
  <c r="AA215" i="7"/>
  <c r="M97" i="7" l="1"/>
  <c r="AK2" i="3"/>
  <c r="AL2" i="3" s="1"/>
  <c r="M98" i="7" l="1"/>
  <c r="L34" i="3"/>
  <c r="H22" i="15" s="1"/>
  <c r="L18" i="3"/>
  <c r="F22" i="15" s="1"/>
  <c r="M99" i="7" l="1"/>
  <c r="L2" i="3"/>
  <c r="D22" i="15" s="1"/>
  <c r="M100" i="7" l="1"/>
  <c r="AK9" i="3"/>
  <c r="M101" i="7" l="1"/>
  <c r="AK5" i="3"/>
  <c r="AK4" i="3"/>
  <c r="M102" i="7" l="1"/>
  <c r="Y17" i="3"/>
  <c r="M103" i="7" l="1"/>
  <c r="H8" i="12"/>
  <c r="G8" i="12"/>
  <c r="E13" i="12"/>
  <c r="E8" i="12"/>
  <c r="I8" i="12"/>
  <c r="D13" i="12"/>
  <c r="D8" i="12"/>
  <c r="M104" i="7" l="1"/>
  <c r="AK5" i="8"/>
  <c r="AK4" i="8"/>
  <c r="AK3" i="8"/>
  <c r="M105" i="7" l="1"/>
  <c r="E78" i="12"/>
  <c r="E77" i="12"/>
  <c r="M106" i="7" l="1"/>
  <c r="AK37" i="3"/>
  <c r="AK36" i="3"/>
  <c r="AB23" i="6"/>
  <c r="AB22" i="6"/>
  <c r="AB21" i="6"/>
  <c r="AB31" i="6"/>
  <c r="AB30" i="6"/>
  <c r="AC27" i="6"/>
  <c r="AC26" i="6"/>
  <c r="M107" i="7" l="1"/>
  <c r="AE3" i="3"/>
  <c r="M108" i="7" l="1"/>
  <c r="C33" i="12"/>
  <c r="T182" i="7"/>
  <c r="T200" i="7"/>
  <c r="W200" i="7" s="1"/>
  <c r="M109" i="7" l="1"/>
  <c r="W182" i="7"/>
  <c r="U182" i="7"/>
  <c r="O182" i="7" s="1"/>
  <c r="AA182" i="7"/>
  <c r="AA200" i="7"/>
  <c r="C15" i="3"/>
  <c r="M110" i="7" l="1"/>
  <c r="M111" i="7" l="1"/>
  <c r="T25" i="7"/>
  <c r="AA25" i="7" s="1"/>
  <c r="M112" i="7" l="1"/>
  <c r="W25" i="7"/>
  <c r="T24" i="7"/>
  <c r="W24" i="7" s="1"/>
  <c r="M113" i="7" l="1"/>
  <c r="AA24" i="7"/>
  <c r="M114" i="7" l="1"/>
  <c r="T75" i="7"/>
  <c r="W75" i="7" s="1"/>
  <c r="T93" i="7"/>
  <c r="W93" i="7" s="1"/>
  <c r="Q16" i="11"/>
  <c r="R16" i="11"/>
  <c r="Q17" i="11"/>
  <c r="Q20" i="11"/>
  <c r="Q21" i="11"/>
  <c r="Q22" i="11"/>
  <c r="Q23" i="11"/>
  <c r="Q24" i="11"/>
  <c r="Q25" i="11"/>
  <c r="M115" i="7" l="1"/>
  <c r="AA75" i="7"/>
  <c r="AA93" i="7"/>
  <c r="M116" i="7" l="1"/>
  <c r="T251" i="7"/>
  <c r="W251" i="7" s="1"/>
  <c r="M117" i="7" l="1"/>
  <c r="AA251" i="7"/>
  <c r="M118" i="7" l="1"/>
  <c r="Q146" i="7"/>
  <c r="P146" i="7"/>
  <c r="O146" i="7"/>
  <c r="M119" i="7" l="1"/>
  <c r="T253" i="7"/>
  <c r="W253" i="7" s="1"/>
  <c r="M120" i="7" l="1"/>
  <c r="AA253" i="7"/>
  <c r="M121" i="7" l="1"/>
  <c r="M122" i="7" l="1"/>
  <c r="C77" i="12"/>
  <c r="M123" i="7" l="1"/>
  <c r="A8" i="12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B1" i="12"/>
  <c r="B47" i="12" s="1"/>
  <c r="M124" i="7" l="1"/>
  <c r="P99" i="12"/>
  <c r="P98" i="12"/>
  <c r="W23" i="3" l="1"/>
  <c r="W7" i="3"/>
  <c r="W39" i="3"/>
  <c r="M125" i="7"/>
  <c r="T136" i="7"/>
  <c r="W136" i="7" s="1"/>
  <c r="T142" i="7"/>
  <c r="W142" i="7" s="1"/>
  <c r="T141" i="7"/>
  <c r="T140" i="7"/>
  <c r="T139" i="7"/>
  <c r="T138" i="7"/>
  <c r="T137" i="7"/>
  <c r="T127" i="7"/>
  <c r="W127" i="7" s="1"/>
  <c r="T133" i="7"/>
  <c r="AA133" i="7" s="1"/>
  <c r="T135" i="7"/>
  <c r="T134" i="7"/>
  <c r="T132" i="7"/>
  <c r="T131" i="7"/>
  <c r="AA131" i="7" s="1"/>
  <c r="T130" i="7"/>
  <c r="T129" i="7"/>
  <c r="T128" i="7"/>
  <c r="M126" i="7" l="1"/>
  <c r="AA142" i="7"/>
  <c r="AA136" i="7"/>
  <c r="W138" i="7"/>
  <c r="AA138" i="7"/>
  <c r="W139" i="7"/>
  <c r="AA139" i="7"/>
  <c r="W140" i="7"/>
  <c r="AA140" i="7"/>
  <c r="W141" i="7"/>
  <c r="AA141" i="7"/>
  <c r="W137" i="7"/>
  <c r="AA137" i="7"/>
  <c r="T143" i="7"/>
  <c r="T144" i="7"/>
  <c r="W133" i="7"/>
  <c r="W130" i="7"/>
  <c r="AA130" i="7"/>
  <c r="W135" i="7"/>
  <c r="AA135" i="7"/>
  <c r="AA128" i="7"/>
  <c r="W128" i="7"/>
  <c r="AA132" i="7"/>
  <c r="W132" i="7"/>
  <c r="AA129" i="7"/>
  <c r="W129" i="7"/>
  <c r="W134" i="7"/>
  <c r="AA134" i="7"/>
  <c r="AA127" i="7"/>
  <c r="W131" i="7"/>
  <c r="M127" i="7" l="1"/>
  <c r="AA144" i="7"/>
  <c r="W144" i="7"/>
  <c r="W143" i="7"/>
  <c r="AA143" i="7"/>
  <c r="I23" i="2"/>
  <c r="H29" i="2"/>
  <c r="I29" i="2"/>
  <c r="M128" i="7" l="1"/>
  <c r="T153" i="7"/>
  <c r="M129" i="7" l="1"/>
  <c r="M130" i="7" l="1"/>
  <c r="Q33" i="3"/>
  <c r="U35" i="3"/>
  <c r="P3" i="11" s="1"/>
  <c r="W35" i="3"/>
  <c r="U19" i="3"/>
  <c r="K3" i="11" s="1"/>
  <c r="W19" i="3"/>
  <c r="AK20" i="3"/>
  <c r="AK21" i="3"/>
  <c r="Y13" i="3"/>
  <c r="Y45" i="3"/>
  <c r="M131" i="7" l="1"/>
  <c r="AB1" i="7"/>
  <c r="X1" i="7"/>
  <c r="X10" i="7" s="1"/>
  <c r="P10" i="7" s="1"/>
  <c r="Y29" i="3"/>
  <c r="T108" i="7"/>
  <c r="M132" i="7" l="1"/>
  <c r="AB10" i="7"/>
  <c r="Q10" i="7" s="1"/>
  <c r="AA108" i="7"/>
  <c r="W108" i="7"/>
  <c r="T100" i="7"/>
  <c r="M133" i="7" l="1"/>
  <c r="AA100" i="7"/>
  <c r="W100" i="7"/>
  <c r="M134" i="7" l="1"/>
  <c r="W223" i="7"/>
  <c r="O40" i="3"/>
  <c r="AB275" i="7" s="1"/>
  <c r="Q275" i="7" s="1"/>
  <c r="O24" i="3"/>
  <c r="X275" i="7" s="1"/>
  <c r="P275" i="7" s="1"/>
  <c r="M135" i="7" l="1"/>
  <c r="AB266" i="7"/>
  <c r="Q266" i="7" s="1"/>
  <c r="AB274" i="7"/>
  <c r="Q274" i="7" s="1"/>
  <c r="X266" i="7"/>
  <c r="P266" i="7" s="1"/>
  <c r="X274" i="7"/>
  <c r="P274" i="7" s="1"/>
  <c r="AA223" i="7"/>
  <c r="AB273" i="7"/>
  <c r="Q273" i="7" s="1"/>
  <c r="X273" i="7"/>
  <c r="P273" i="7" s="1"/>
  <c r="T242" i="7"/>
  <c r="T252" i="7"/>
  <c r="W252" i="7" s="1"/>
  <c r="M136" i="7" l="1"/>
  <c r="W242" i="7"/>
  <c r="AA242" i="7"/>
  <c r="AB242" i="7" s="1"/>
  <c r="Q242" i="7" s="1"/>
  <c r="AA252" i="7"/>
  <c r="AE2" i="3"/>
  <c r="M137" i="7" l="1"/>
  <c r="E29" i="2"/>
  <c r="E23" i="2"/>
  <c r="M138" i="7" l="1"/>
  <c r="T212" i="7"/>
  <c r="W212" i="7" s="1"/>
  <c r="M139" i="7" l="1"/>
  <c r="AA212" i="7"/>
  <c r="M140" i="7" l="1"/>
  <c r="F9" i="3"/>
  <c r="M141" i="7" l="1"/>
  <c r="F7" i="17"/>
  <c r="D10" i="3"/>
  <c r="D2" i="15"/>
  <c r="D3" i="15" s="1"/>
  <c r="D4" i="15" s="1"/>
  <c r="U24" i="7"/>
  <c r="O24" i="7" s="1"/>
  <c r="H5" i="3"/>
  <c r="U128" i="7" s="1"/>
  <c r="B2" i="12"/>
  <c r="A9" i="3"/>
  <c r="B3" i="12"/>
  <c r="N6" i="3"/>
  <c r="F5" i="3"/>
  <c r="F10" i="3"/>
  <c r="T92" i="7"/>
  <c r="AA92" i="7" s="1"/>
  <c r="T74" i="7"/>
  <c r="W74" i="7" s="1"/>
  <c r="F41" i="3"/>
  <c r="M142" i="7" l="1"/>
  <c r="O9" i="3"/>
  <c r="D7" i="16"/>
  <c r="E7" i="16" s="1"/>
  <c r="C7" i="17"/>
  <c r="D7" i="17" s="1"/>
  <c r="D8" i="17" s="1"/>
  <c r="F42" i="3"/>
  <c r="M7" i="17" s="1"/>
  <c r="N7" i="17" s="1"/>
  <c r="D11" i="11"/>
  <c r="H2" i="15"/>
  <c r="H3" i="15" s="1"/>
  <c r="H4" i="15" s="1"/>
  <c r="W3" i="8"/>
  <c r="U102" i="7"/>
  <c r="O102" i="7" s="1"/>
  <c r="D42" i="3"/>
  <c r="AB24" i="7"/>
  <c r="A41" i="3"/>
  <c r="U133" i="7"/>
  <c r="O133" i="7" s="1"/>
  <c r="U136" i="7"/>
  <c r="O136" i="7" s="1"/>
  <c r="U143" i="7"/>
  <c r="O143" i="7" s="1"/>
  <c r="U144" i="7"/>
  <c r="O144" i="7" s="1"/>
  <c r="U103" i="7"/>
  <c r="O103" i="7" s="1"/>
  <c r="F3" i="12"/>
  <c r="F2" i="12"/>
  <c r="B48" i="12"/>
  <c r="B49" i="12" s="1"/>
  <c r="B50" i="12" s="1"/>
  <c r="O7" i="3" s="1"/>
  <c r="U210" i="7" s="1"/>
  <c r="O210" i="7" s="1"/>
  <c r="A10" i="3"/>
  <c r="U75" i="7"/>
  <c r="O75" i="7" s="1"/>
  <c r="F37" i="3"/>
  <c r="U142" i="7"/>
  <c r="O142" i="7" s="1"/>
  <c r="U138" i="7"/>
  <c r="O138" i="7" s="1"/>
  <c r="U129" i="7"/>
  <c r="O129" i="7" s="1"/>
  <c r="U141" i="7"/>
  <c r="O141" i="7" s="1"/>
  <c r="U139" i="7"/>
  <c r="O139" i="7" s="1"/>
  <c r="U130" i="7"/>
  <c r="O130" i="7" s="1"/>
  <c r="U137" i="7"/>
  <c r="O137" i="7" s="1"/>
  <c r="U140" i="7"/>
  <c r="O140" i="7" s="1"/>
  <c r="U131" i="7"/>
  <c r="O131" i="7" s="1"/>
  <c r="U132" i="7"/>
  <c r="O132" i="7" s="1"/>
  <c r="W92" i="7"/>
  <c r="AA74" i="7"/>
  <c r="M143" i="7" l="1"/>
  <c r="B71" i="12"/>
  <c r="E8" i="16"/>
  <c r="D2" i="16" s="1"/>
  <c r="G7" i="16"/>
  <c r="N8" i="17"/>
  <c r="E2" i="17" s="1"/>
  <c r="E11" i="11"/>
  <c r="D12" i="11" s="1"/>
  <c r="E12" i="11" s="1"/>
  <c r="E7" i="17"/>
  <c r="N7" i="16"/>
  <c r="O7" i="16" s="1"/>
  <c r="N11" i="11"/>
  <c r="O11" i="11" s="1"/>
  <c r="N12" i="11" s="1"/>
  <c r="O12" i="11" s="1"/>
  <c r="O41" i="3"/>
  <c r="A42" i="3"/>
  <c r="AB144" i="7"/>
  <c r="Q144" i="7" s="1"/>
  <c r="AB143" i="7"/>
  <c r="Q143" i="7" s="1"/>
  <c r="AB101" i="7"/>
  <c r="Q101" i="7" s="1"/>
  <c r="AB103" i="7"/>
  <c r="Q103" i="7" s="1"/>
  <c r="D1" i="12"/>
  <c r="D47" i="12" s="1"/>
  <c r="F48" i="12"/>
  <c r="F49" i="12" s="1"/>
  <c r="F4" i="12"/>
  <c r="F5" i="12" s="1"/>
  <c r="F28" i="12" s="1"/>
  <c r="AB74" i="7"/>
  <c r="Q74" i="7" s="1"/>
  <c r="M144" i="7" l="1"/>
  <c r="D6" i="11"/>
  <c r="O7" i="17"/>
  <c r="G11" i="11"/>
  <c r="O8" i="16"/>
  <c r="F2" i="16" s="1"/>
  <c r="Q7" i="16"/>
  <c r="F7" i="16"/>
  <c r="Q11" i="11"/>
  <c r="P7" i="16"/>
  <c r="F50" i="12"/>
  <c r="O39" i="3" s="1"/>
  <c r="O38" i="3"/>
  <c r="AB190" i="7" s="1"/>
  <c r="Q190" i="7" s="1"/>
  <c r="AB184" i="7" l="1"/>
  <c r="Q184" i="7" s="1"/>
  <c r="AB188" i="7"/>
  <c r="Q188" i="7" s="1"/>
  <c r="M145" i="7"/>
  <c r="P11" i="11"/>
  <c r="AB99" i="7" s="1"/>
  <c r="F11" i="11"/>
  <c r="U99" i="7" s="1"/>
  <c r="F72" i="12"/>
  <c r="AB189" i="7"/>
  <c r="Q189" i="7" s="1"/>
  <c r="F27" i="12"/>
  <c r="F29" i="12" s="1"/>
  <c r="AB194" i="7" s="1"/>
  <c r="Q194" i="7" s="1"/>
  <c r="U38" i="3"/>
  <c r="M146" i="7" l="1"/>
  <c r="R39" i="3"/>
  <c r="J39" i="3"/>
  <c r="F71" i="12"/>
  <c r="F73" i="12" s="1"/>
  <c r="AB214" i="7" s="1"/>
  <c r="Q214" i="7" s="1"/>
  <c r="T211" i="7"/>
  <c r="M147" i="7" l="1"/>
  <c r="V40" i="3"/>
  <c r="AB220" i="7" s="1"/>
  <c r="AA211" i="7"/>
  <c r="W211" i="7"/>
  <c r="AB219" i="7" l="1"/>
  <c r="Q219" i="7" s="1"/>
  <c r="AB215" i="7"/>
  <c r="M148" i="7"/>
  <c r="AB216" i="7"/>
  <c r="Q216" i="7" s="1"/>
  <c r="AB218" i="7"/>
  <c r="AB217" i="7"/>
  <c r="T286" i="7"/>
  <c r="T287" i="7"/>
  <c r="U287" i="7" s="1"/>
  <c r="O287" i="7" s="1"/>
  <c r="T288" i="7"/>
  <c r="T289" i="7"/>
  <c r="T290" i="7"/>
  <c r="T291" i="7"/>
  <c r="V38" i="3"/>
  <c r="W38" i="3" s="1"/>
  <c r="V22" i="3"/>
  <c r="W22" i="3" s="1"/>
  <c r="M149" i="7" l="1"/>
  <c r="BK4" i="8"/>
  <c r="BM4" i="8" s="1"/>
  <c r="BK5" i="8"/>
  <c r="U288" i="7"/>
  <c r="O288" i="7" s="1"/>
  <c r="U289" i="7"/>
  <c r="O289" i="7" s="1"/>
  <c r="U291" i="7"/>
  <c r="O291" i="7" s="1"/>
  <c r="U290" i="7"/>
  <c r="O290" i="7" s="1"/>
  <c r="AA287" i="7"/>
  <c r="AB287" i="7" s="1"/>
  <c r="Q287" i="7" s="1"/>
  <c r="AA286" i="7"/>
  <c r="AA288" i="7"/>
  <c r="X297" i="7"/>
  <c r="P297" i="7" s="1"/>
  <c r="W286" i="7"/>
  <c r="W289" i="7"/>
  <c r="AA289" i="7"/>
  <c r="AB289" i="7" s="1"/>
  <c r="Q289" i="7" s="1"/>
  <c r="W288" i="7"/>
  <c r="X288" i="7" s="1"/>
  <c r="P288" i="7" s="1"/>
  <c r="W287" i="7"/>
  <c r="X287" i="7" s="1"/>
  <c r="P287" i="7" s="1"/>
  <c r="M150" i="7" l="1"/>
  <c r="AI5" i="8"/>
  <c r="BM5" i="8"/>
  <c r="AI4" i="8"/>
  <c r="X295" i="7" s="1"/>
  <c r="P295" i="7" s="1"/>
  <c r="X286" i="7"/>
  <c r="P286" i="7" s="1"/>
  <c r="X283" i="7"/>
  <c r="P283" i="7" s="1"/>
  <c r="AB286" i="7"/>
  <c r="Q286" i="7" s="1"/>
  <c r="AB288" i="7"/>
  <c r="Q288" i="7" s="1"/>
  <c r="M151" i="7" l="1"/>
  <c r="AB295" i="7"/>
  <c r="Q295" i="7" s="1"/>
  <c r="AB297" i="7"/>
  <c r="Q297" i="7" s="1"/>
  <c r="AB283" i="7"/>
  <c r="Q283" i="7" s="1"/>
  <c r="O34" i="3"/>
  <c r="H41" i="3" s="1"/>
  <c r="J41" i="3" s="1"/>
  <c r="H36" i="3"/>
  <c r="W37" i="3"/>
  <c r="N38" i="3"/>
  <c r="B39" i="3"/>
  <c r="N39" i="3"/>
  <c r="U41" i="3"/>
  <c r="J3" i="5" s="1"/>
  <c r="U43" i="3"/>
  <c r="R45" i="3"/>
  <c r="U45" i="3"/>
  <c r="W45" i="3"/>
  <c r="A1" i="3"/>
  <c r="O2" i="3"/>
  <c r="H9" i="3" s="1"/>
  <c r="B7" i="3"/>
  <c r="O268" i="7"/>
  <c r="O8" i="3"/>
  <c r="U9" i="3"/>
  <c r="U11" i="3"/>
  <c r="R13" i="3"/>
  <c r="U13" i="3"/>
  <c r="W13" i="3"/>
  <c r="V152" i="7" l="1"/>
  <c r="S152" i="7"/>
  <c r="Z152" i="7" s="1"/>
  <c r="M152" i="7"/>
  <c r="J9" i="3"/>
  <c r="H54" i="5"/>
  <c r="H55" i="5" s="1"/>
  <c r="H3" i="5"/>
  <c r="J54" i="5"/>
  <c r="J55" i="5" s="1"/>
  <c r="U274" i="7"/>
  <c r="O274" i="7" s="1"/>
  <c r="U273" i="7"/>
  <c r="O273" i="7" s="1"/>
  <c r="U272" i="7"/>
  <c r="O272" i="7" s="1"/>
  <c r="U266" i="7"/>
  <c r="O266" i="7" s="1"/>
  <c r="H37" i="3"/>
  <c r="U63" i="7"/>
  <c r="O63" i="7" s="1"/>
  <c r="AB61" i="7"/>
  <c r="Q61" i="7" s="1"/>
  <c r="AB62" i="7"/>
  <c r="Q62" i="7" s="1"/>
  <c r="AB63" i="7"/>
  <c r="Q63" i="7" s="1"/>
  <c r="AB100" i="7"/>
  <c r="Q100" i="7" s="1"/>
  <c r="AB268" i="7"/>
  <c r="Q268" i="7" s="1"/>
  <c r="Q24" i="7"/>
  <c r="U251" i="7"/>
  <c r="O251" i="7" s="1"/>
  <c r="F1" i="12"/>
  <c r="F47" i="12" s="1"/>
  <c r="AB251" i="7"/>
  <c r="Q251" i="7" s="1"/>
  <c r="U253" i="7"/>
  <c r="O253" i="7" s="1"/>
  <c r="AB252" i="7"/>
  <c r="Q252" i="7" s="1"/>
  <c r="AB253" i="7"/>
  <c r="Q253" i="7" s="1"/>
  <c r="AB211" i="7"/>
  <c r="Q211" i="7" s="1"/>
  <c r="A33" i="3"/>
  <c r="AR5" i="8"/>
  <c r="M153" i="7" l="1"/>
  <c r="J4" i="5"/>
  <c r="AB49" i="7" s="1"/>
  <c r="H4" i="5"/>
  <c r="U49" i="7" s="1"/>
  <c r="AB131" i="7"/>
  <c r="Q131" i="7" s="1"/>
  <c r="AB128" i="7"/>
  <c r="Q128" i="7" s="1"/>
  <c r="Q217" i="7"/>
  <c r="Q215" i="7"/>
  <c r="Q218" i="7"/>
  <c r="AB130" i="7"/>
  <c r="Q130" i="7" s="1"/>
  <c r="AB137" i="7"/>
  <c r="Q137" i="7" s="1"/>
  <c r="AB141" i="7"/>
  <c r="Q141" i="7" s="1"/>
  <c r="AB133" i="7"/>
  <c r="Q133" i="7" s="1"/>
  <c r="AB139" i="7"/>
  <c r="Q139" i="7" s="1"/>
  <c r="AB140" i="7"/>
  <c r="Q140" i="7" s="1"/>
  <c r="AB129" i="7"/>
  <c r="Q129" i="7" s="1"/>
  <c r="AB142" i="7"/>
  <c r="Q142" i="7" s="1"/>
  <c r="AB138" i="7"/>
  <c r="Q138" i="7" s="1"/>
  <c r="AB132" i="7"/>
  <c r="Q132" i="7" s="1"/>
  <c r="U65" i="7"/>
  <c r="O65" i="7" s="1"/>
  <c r="T87" i="7"/>
  <c r="W87" i="7" s="1"/>
  <c r="X87" i="7" s="1"/>
  <c r="P87" i="7" s="1"/>
  <c r="T70" i="7"/>
  <c r="U70" i="7" s="1"/>
  <c r="O70" i="7" s="1"/>
  <c r="AR3" i="8"/>
  <c r="M154" i="7" l="1"/>
  <c r="AA70" i="7"/>
  <c r="AB70" i="7" s="1"/>
  <c r="Q70" i="7" s="1"/>
  <c r="W70" i="7"/>
  <c r="X70" i="7" s="1"/>
  <c r="P70" i="7" s="1"/>
  <c r="AA87" i="7"/>
  <c r="AB87" i="7" s="1"/>
  <c r="Q87" i="7" s="1"/>
  <c r="U87" i="7"/>
  <c r="O87" i="7" s="1"/>
  <c r="Y3" i="8"/>
  <c r="Z5" i="8"/>
  <c r="Y5" i="8"/>
  <c r="X5" i="8"/>
  <c r="Z3" i="8"/>
  <c r="X3" i="8"/>
  <c r="M155" i="7" l="1"/>
  <c r="BZ5" i="8"/>
  <c r="BZ4" i="8"/>
  <c r="M156" i="7" l="1"/>
  <c r="AW3" i="8"/>
  <c r="M157" i="7" l="1"/>
  <c r="T213" i="7"/>
  <c r="M158" i="7" l="1"/>
  <c r="W213" i="7"/>
  <c r="AA213" i="7"/>
  <c r="S159" i="7" l="1"/>
  <c r="Z159" i="7" s="1"/>
  <c r="M159" i="7"/>
  <c r="V159" i="7"/>
  <c r="Q172" i="7"/>
  <c r="P172" i="7"/>
  <c r="S160" i="7" l="1"/>
  <c r="Z160" i="7" s="1"/>
  <c r="M160" i="7"/>
  <c r="V160" i="7"/>
  <c r="N23" i="3"/>
  <c r="AB213" i="7"/>
  <c r="Q213" i="7" s="1"/>
  <c r="M161" i="7" l="1"/>
  <c r="V161" i="7"/>
  <c r="X268" i="7"/>
  <c r="P268" i="7" s="1"/>
  <c r="X252" i="7"/>
  <c r="P252" i="7" s="1"/>
  <c r="X253" i="7"/>
  <c r="P253" i="7" s="1"/>
  <c r="V162" i="7" l="1"/>
  <c r="M162" i="7"/>
  <c r="T156" i="7"/>
  <c r="T164" i="7"/>
  <c r="T99" i="7"/>
  <c r="T107" i="7"/>
  <c r="V163" i="7" l="1"/>
  <c r="M163" i="7"/>
  <c r="AA164" i="7"/>
  <c r="W164" i="7"/>
  <c r="W156" i="7"/>
  <c r="AA107" i="7"/>
  <c r="W99" i="7"/>
  <c r="Y42" i="3"/>
  <c r="AA156" i="7"/>
  <c r="AA99" i="7"/>
  <c r="Q99" i="7" s="1"/>
  <c r="W107" i="7"/>
  <c r="M164" i="7" l="1"/>
  <c r="V164" i="7"/>
  <c r="V165" i="7" l="1"/>
  <c r="M165" i="7"/>
  <c r="B20" i="4"/>
  <c r="B10" i="4"/>
  <c r="V166" i="7" l="1"/>
  <c r="M166" i="7"/>
  <c r="O5" i="8"/>
  <c r="O4" i="8"/>
  <c r="O3" i="8"/>
  <c r="P5" i="8"/>
  <c r="P4" i="8"/>
  <c r="P3" i="8"/>
  <c r="BS5" i="8"/>
  <c r="BS4" i="8"/>
  <c r="BS3" i="8"/>
  <c r="BR5" i="8"/>
  <c r="BR4" i="8"/>
  <c r="BR3" i="8"/>
  <c r="BQ5" i="8"/>
  <c r="BQ4" i="8"/>
  <c r="BQ3" i="8"/>
  <c r="BP5" i="8"/>
  <c r="BP4" i="8"/>
  <c r="BP3" i="8"/>
  <c r="BO5" i="8"/>
  <c r="BO4" i="8"/>
  <c r="BO3" i="8"/>
  <c r="BN5" i="8"/>
  <c r="BN4" i="8"/>
  <c r="BN3" i="8"/>
  <c r="BI5" i="8"/>
  <c r="BI4" i="8"/>
  <c r="BI3" i="8"/>
  <c r="BH5" i="8"/>
  <c r="BH4" i="8"/>
  <c r="BH3" i="8"/>
  <c r="BF5" i="8"/>
  <c r="BF4" i="8"/>
  <c r="BF3" i="8"/>
  <c r="BC5" i="8"/>
  <c r="BC4" i="8"/>
  <c r="BC3" i="8"/>
  <c r="AY5" i="8"/>
  <c r="AY4" i="8"/>
  <c r="AY3" i="8"/>
  <c r="AW5" i="8"/>
  <c r="AW4" i="8"/>
  <c r="AT5" i="8"/>
  <c r="AT4" i="8"/>
  <c r="AT3" i="8"/>
  <c r="S167" i="7" l="1"/>
  <c r="Z167" i="7" s="1"/>
  <c r="M167" i="7"/>
  <c r="V167" i="7"/>
  <c r="AL5" i="8"/>
  <c r="AL4" i="8"/>
  <c r="AL3" i="8"/>
  <c r="AG5" i="8"/>
  <c r="AG4" i="8"/>
  <c r="AG3" i="8"/>
  <c r="V5" i="8"/>
  <c r="V4" i="8"/>
  <c r="V3" i="8"/>
  <c r="Z41" i="3"/>
  <c r="Z25" i="3"/>
  <c r="V168" i="7" l="1"/>
  <c r="S168" i="7"/>
  <c r="Z168" i="7" s="1"/>
  <c r="M168" i="7"/>
  <c r="X289" i="7"/>
  <c r="P289" i="7" s="1"/>
  <c r="BX5" i="8"/>
  <c r="G5" i="8"/>
  <c r="F5" i="8"/>
  <c r="E5" i="8"/>
  <c r="D5" i="8"/>
  <c r="BX4" i="8"/>
  <c r="G4" i="8"/>
  <c r="F4" i="8"/>
  <c r="E4" i="8"/>
  <c r="D4" i="8"/>
  <c r="BX3" i="8"/>
  <c r="E3" i="8"/>
  <c r="D3" i="8"/>
  <c r="C3" i="8"/>
  <c r="T296" i="7"/>
  <c r="U296" i="7" s="1"/>
  <c r="O296" i="7" s="1"/>
  <c r="T294" i="7"/>
  <c r="U294" i="7" s="1"/>
  <c r="O294" i="7" s="1"/>
  <c r="T293" i="7"/>
  <c r="U293" i="7" s="1"/>
  <c r="O293" i="7" s="1"/>
  <c r="T292" i="7"/>
  <c r="T285" i="7"/>
  <c r="T284" i="7"/>
  <c r="T278" i="7"/>
  <c r="U277" i="7"/>
  <c r="O277" i="7" s="1"/>
  <c r="W276" i="7"/>
  <c r="T271" i="7"/>
  <c r="T270" i="7"/>
  <c r="T269" i="7"/>
  <c r="U269" i="7" s="1"/>
  <c r="O269" i="7" s="1"/>
  <c r="T267" i="7"/>
  <c r="W267" i="7" s="1"/>
  <c r="T265" i="7"/>
  <c r="U265" i="7" s="1"/>
  <c r="T256" i="7"/>
  <c r="W256" i="7" s="1"/>
  <c r="T255" i="7"/>
  <c r="AA255" i="7" s="1"/>
  <c r="T250" i="7"/>
  <c r="T249" i="7"/>
  <c r="T248" i="7"/>
  <c r="T247" i="7"/>
  <c r="W247" i="7" s="1"/>
  <c r="AB247" i="7" s="1"/>
  <c r="Q247" i="7" s="1"/>
  <c r="T244" i="7"/>
  <c r="T240" i="7"/>
  <c r="T239" i="7"/>
  <c r="W239" i="7" s="1"/>
  <c r="T235" i="7"/>
  <c r="AA235" i="7" s="1"/>
  <c r="AB235" i="7" s="1"/>
  <c r="Q235" i="7" s="1"/>
  <c r="T233" i="7"/>
  <c r="W233" i="7" s="1"/>
  <c r="X233" i="7" s="1"/>
  <c r="P233" i="7" s="1"/>
  <c r="T232" i="7"/>
  <c r="W232" i="7" s="1"/>
  <c r="X232" i="7" s="1"/>
  <c r="P232" i="7" s="1"/>
  <c r="T206" i="7"/>
  <c r="T204" i="7"/>
  <c r="T203" i="7"/>
  <c r="T202" i="7"/>
  <c r="T201" i="7"/>
  <c r="T199" i="7"/>
  <c r="T195" i="7"/>
  <c r="T193" i="7"/>
  <c r="T192" i="7"/>
  <c r="U192" i="7" s="1"/>
  <c r="O192" i="7" s="1"/>
  <c r="T187" i="7"/>
  <c r="T186" i="7"/>
  <c r="T185" i="7"/>
  <c r="T183" i="7"/>
  <c r="T181" i="7"/>
  <c r="T169" i="7"/>
  <c r="W169" i="7" s="1"/>
  <c r="T166" i="7"/>
  <c r="T165" i="7"/>
  <c r="T163" i="7"/>
  <c r="T162" i="7"/>
  <c r="T161" i="7"/>
  <c r="T158" i="7"/>
  <c r="W158" i="7" s="1"/>
  <c r="T157" i="7"/>
  <c r="T155" i="7"/>
  <c r="T154" i="7"/>
  <c r="AA153" i="7"/>
  <c r="T151" i="7"/>
  <c r="T150" i="7"/>
  <c r="T149" i="7"/>
  <c r="AA149" i="7" s="1"/>
  <c r="T148" i="7"/>
  <c r="AA148" i="7" s="1"/>
  <c r="AB148" i="7" s="1"/>
  <c r="Q148" i="7" s="1"/>
  <c r="T147" i="7"/>
  <c r="T126" i="7"/>
  <c r="W126" i="7" s="1"/>
  <c r="X126" i="7" s="1"/>
  <c r="P126" i="7" s="1"/>
  <c r="T125" i="7"/>
  <c r="W125" i="7" s="1"/>
  <c r="X125" i="7" s="1"/>
  <c r="P125" i="7" s="1"/>
  <c r="T124" i="7"/>
  <c r="W124" i="7" s="1"/>
  <c r="T123" i="7"/>
  <c r="AA123" i="7" s="1"/>
  <c r="T122" i="7"/>
  <c r="AA122" i="7" s="1"/>
  <c r="T121" i="7"/>
  <c r="W121" i="7" s="1"/>
  <c r="T120" i="7"/>
  <c r="AA120" i="7" s="1"/>
  <c r="T118" i="7"/>
  <c r="U118" i="7" s="1"/>
  <c r="O118" i="7" s="1"/>
  <c r="T117" i="7"/>
  <c r="AA117" i="7" s="1"/>
  <c r="AB117" i="7" s="1"/>
  <c r="Q117" i="7" s="1"/>
  <c r="T116" i="7"/>
  <c r="AA116" i="7" s="1"/>
  <c r="AB116" i="7" s="1"/>
  <c r="Q116" i="7" s="1"/>
  <c r="T115" i="7"/>
  <c r="AA115" i="7" s="1"/>
  <c r="AB115" i="7" s="1"/>
  <c r="Q115" i="7" s="1"/>
  <c r="T114" i="7"/>
  <c r="AA114" i="7" s="1"/>
  <c r="AB114" i="7" s="1"/>
  <c r="Q114" i="7" s="1"/>
  <c r="T113" i="7"/>
  <c r="T112" i="7"/>
  <c r="T106" i="7"/>
  <c r="T105" i="7"/>
  <c r="T104" i="7"/>
  <c r="T98" i="7"/>
  <c r="T97" i="7"/>
  <c r="T96" i="7"/>
  <c r="T91" i="7"/>
  <c r="W91" i="7" s="1"/>
  <c r="X91" i="7" s="1"/>
  <c r="P91" i="7" s="1"/>
  <c r="T89" i="7"/>
  <c r="AA89" i="7" s="1"/>
  <c r="AB89" i="7" s="1"/>
  <c r="T88" i="7"/>
  <c r="W88" i="7" s="1"/>
  <c r="X88" i="7" s="1"/>
  <c r="P88" i="7" s="1"/>
  <c r="T86" i="7"/>
  <c r="T85" i="7"/>
  <c r="AA84" i="7"/>
  <c r="W84" i="7"/>
  <c r="AA83" i="7"/>
  <c r="W83" i="7"/>
  <c r="AA82" i="7"/>
  <c r="W82" i="7"/>
  <c r="AA78" i="7"/>
  <c r="W78" i="7"/>
  <c r="AA77" i="7"/>
  <c r="W77" i="7"/>
  <c r="T73" i="7"/>
  <c r="T71" i="7"/>
  <c r="U71" i="7" s="1"/>
  <c r="O71" i="7" s="1"/>
  <c r="T69" i="7"/>
  <c r="T68" i="7"/>
  <c r="AA67" i="7"/>
  <c r="W67" i="7"/>
  <c r="AA66" i="7"/>
  <c r="AB66" i="7" s="1"/>
  <c r="Q66" i="7" s="1"/>
  <c r="W66" i="7"/>
  <c r="AA65" i="7"/>
  <c r="AB65" i="7" s="1"/>
  <c r="Q65" i="7" s="1"/>
  <c r="W65" i="7"/>
  <c r="AA64" i="7"/>
  <c r="AB64" i="7" s="1"/>
  <c r="Q64" i="7" s="1"/>
  <c r="W64" i="7"/>
  <c r="W61" i="7"/>
  <c r="AA60" i="7"/>
  <c r="W60" i="7"/>
  <c r="T58" i="7"/>
  <c r="T57" i="7"/>
  <c r="U57" i="7" s="1"/>
  <c r="O57" i="7" s="1"/>
  <c r="T56" i="7"/>
  <c r="W56" i="7" s="1"/>
  <c r="X56" i="7" s="1"/>
  <c r="P56" i="7" s="1"/>
  <c r="T55" i="7"/>
  <c r="U55" i="7" s="1"/>
  <c r="O55" i="7" s="1"/>
  <c r="T53" i="7"/>
  <c r="U53" i="7" s="1"/>
  <c r="O53" i="7" s="1"/>
  <c r="T52" i="7"/>
  <c r="T51" i="7"/>
  <c r="T50" i="7"/>
  <c r="U50" i="7" s="1"/>
  <c r="T46" i="7"/>
  <c r="T45" i="7"/>
  <c r="T44" i="7"/>
  <c r="T43" i="7"/>
  <c r="W42" i="7"/>
  <c r="T40" i="7"/>
  <c r="T39" i="7"/>
  <c r="T38" i="7"/>
  <c r="T37" i="7"/>
  <c r="T36" i="7"/>
  <c r="T35" i="7"/>
  <c r="T34" i="7"/>
  <c r="T33" i="7"/>
  <c r="T32" i="7"/>
  <c r="U32" i="7" s="1"/>
  <c r="O32" i="7" s="1"/>
  <c r="T31" i="7"/>
  <c r="T30" i="7"/>
  <c r="U30" i="7" s="1"/>
  <c r="O30" i="7" s="1"/>
  <c r="T29" i="7"/>
  <c r="AA29" i="7" s="1"/>
  <c r="T28" i="7"/>
  <c r="W28" i="7" s="1"/>
  <c r="T27" i="7"/>
  <c r="W27" i="7" s="1"/>
  <c r="T26" i="7"/>
  <c r="T22" i="7"/>
  <c r="AA22" i="7" s="1"/>
  <c r="T21" i="7"/>
  <c r="T20" i="7"/>
  <c r="T19" i="7"/>
  <c r="T18" i="7"/>
  <c r="T17" i="7"/>
  <c r="T16" i="7"/>
  <c r="T15" i="7"/>
  <c r="T14" i="7"/>
  <c r="T13" i="7"/>
  <c r="T12" i="7"/>
  <c r="U12" i="7" s="1"/>
  <c r="O12" i="7" s="1"/>
  <c r="T11" i="7"/>
  <c r="U11" i="7" s="1"/>
  <c r="O11" i="7" s="1"/>
  <c r="T9" i="7"/>
  <c r="AA9" i="7" s="1"/>
  <c r="AA8" i="7"/>
  <c r="AA7" i="7"/>
  <c r="AA6" i="7"/>
  <c r="AB6" i="7" s="1"/>
  <c r="Q6" i="7" s="1"/>
  <c r="X6" i="7"/>
  <c r="P6" i="7" s="1"/>
  <c r="U6" i="7"/>
  <c r="O6" i="7" s="1"/>
  <c r="AA5" i="7"/>
  <c r="AB5" i="7" s="1"/>
  <c r="Q5" i="7" s="1"/>
  <c r="X5" i="7"/>
  <c r="P5" i="7" s="1"/>
  <c r="U5" i="7"/>
  <c r="O5" i="7" s="1"/>
  <c r="V3" i="7"/>
  <c r="S3" i="7"/>
  <c r="Z3" i="7" s="1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B21" i="4"/>
  <c r="B19" i="4"/>
  <c r="B18" i="4"/>
  <c r="B17" i="4"/>
  <c r="B16" i="4"/>
  <c r="B15" i="4"/>
  <c r="B14" i="4"/>
  <c r="B13" i="4"/>
  <c r="B12" i="4"/>
  <c r="B11" i="4"/>
  <c r="B9" i="4"/>
  <c r="B8" i="4"/>
  <c r="B7" i="4"/>
  <c r="B6" i="4"/>
  <c r="B5" i="4"/>
  <c r="A5" i="4"/>
  <c r="AV5" i="8"/>
  <c r="L4" i="2"/>
  <c r="L5" i="2" s="1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C47" i="3"/>
  <c r="BB5" i="8"/>
  <c r="AS5" i="8"/>
  <c r="AF5" i="8"/>
  <c r="AA5" i="8"/>
  <c r="U5" i="8"/>
  <c r="T5" i="8"/>
  <c r="Y33" i="3"/>
  <c r="C31" i="3"/>
  <c r="W29" i="3"/>
  <c r="U29" i="3"/>
  <c r="R29" i="3"/>
  <c r="U27" i="3"/>
  <c r="BB4" i="8"/>
  <c r="U25" i="3"/>
  <c r="I3" i="5" s="1"/>
  <c r="AS4" i="8"/>
  <c r="F25" i="3"/>
  <c r="AF4" i="8"/>
  <c r="B23" i="3"/>
  <c r="W21" i="3"/>
  <c r="AA4" i="8" s="1"/>
  <c r="Z4" i="8"/>
  <c r="Y4" i="8"/>
  <c r="H20" i="3"/>
  <c r="T4" i="8" s="1"/>
  <c r="O18" i="3"/>
  <c r="AB17" i="3"/>
  <c r="C4" i="8"/>
  <c r="BB3" i="8"/>
  <c r="AS3" i="8"/>
  <c r="AF3" i="8"/>
  <c r="AA3" i="8"/>
  <c r="U3" i="8"/>
  <c r="T3" i="8"/>
  <c r="U270" i="7" l="1"/>
  <c r="V169" i="7"/>
  <c r="M169" i="7"/>
  <c r="AA45" i="7"/>
  <c r="AB45" i="7" s="1"/>
  <c r="Q45" i="7" s="1"/>
  <c r="U45" i="7"/>
  <c r="W46" i="7"/>
  <c r="U46" i="7"/>
  <c r="O46" i="7" s="1"/>
  <c r="O50" i="7"/>
  <c r="X4" i="8"/>
  <c r="K4" i="11"/>
  <c r="L4" i="11" s="1"/>
  <c r="W96" i="7"/>
  <c r="U113" i="7"/>
  <c r="O113" i="7" s="1"/>
  <c r="U271" i="7"/>
  <c r="O271" i="7" s="1"/>
  <c r="AA271" i="7"/>
  <c r="W278" i="7"/>
  <c r="X278" i="7" s="1"/>
  <c r="P278" i="7" s="1"/>
  <c r="AA278" i="7"/>
  <c r="AB278" i="7" s="1"/>
  <c r="Q278" i="7" s="1"/>
  <c r="U68" i="7"/>
  <c r="O68" i="7" s="1"/>
  <c r="X24" i="7"/>
  <c r="P24" i="7" s="1"/>
  <c r="F2" i="15"/>
  <c r="F3" i="15" s="1"/>
  <c r="F4" i="15" s="1"/>
  <c r="U40" i="7"/>
  <c r="O40" i="7" s="1"/>
  <c r="I54" i="5"/>
  <c r="I55" i="5" s="1"/>
  <c r="AA161" i="7"/>
  <c r="W161" i="7"/>
  <c r="AA166" i="7"/>
  <c r="W166" i="7"/>
  <c r="AA162" i="7"/>
  <c r="W162" i="7"/>
  <c r="AA163" i="7"/>
  <c r="W163" i="7"/>
  <c r="AA165" i="7"/>
  <c r="W165" i="7"/>
  <c r="D26" i="3"/>
  <c r="H21" i="3"/>
  <c r="X128" i="7" s="1"/>
  <c r="U285" i="7"/>
  <c r="O285" i="7" s="1"/>
  <c r="U292" i="7"/>
  <c r="O292" i="7" s="1"/>
  <c r="AA284" i="7"/>
  <c r="AA43" i="7"/>
  <c r="AB43" i="7" s="1"/>
  <c r="Q43" i="7" s="1"/>
  <c r="U43" i="7"/>
  <c r="O43" i="7" s="1"/>
  <c r="A25" i="3"/>
  <c r="BY5" i="8"/>
  <c r="BY3" i="8"/>
  <c r="A6" i="4"/>
  <c r="A7" i="4" s="1"/>
  <c r="A8" i="4" s="1"/>
  <c r="A9" i="4" s="1"/>
  <c r="A10" i="4" s="1"/>
  <c r="A11" i="4" s="1"/>
  <c r="A12" i="4" s="1"/>
  <c r="A13" i="4" s="1"/>
  <c r="A14" i="4" s="1"/>
  <c r="A26" i="4"/>
  <c r="B26" i="4"/>
  <c r="C26" i="4"/>
  <c r="BY4" i="8"/>
  <c r="W35" i="7"/>
  <c r="AA73" i="7"/>
  <c r="AB73" i="7" s="1"/>
  <c r="Q73" i="7" s="1"/>
  <c r="W73" i="7"/>
  <c r="X73" i="7" s="1"/>
  <c r="P73" i="7" s="1"/>
  <c r="D2" i="12"/>
  <c r="H25" i="3"/>
  <c r="AA186" i="7"/>
  <c r="AB186" i="7" s="1"/>
  <c r="Q186" i="7" s="1"/>
  <c r="W52" i="7"/>
  <c r="U4" i="8"/>
  <c r="D3" i="12"/>
  <c r="AA294" i="7"/>
  <c r="AB294" i="7" s="1"/>
  <c r="Q294" i="7" s="1"/>
  <c r="AA69" i="7"/>
  <c r="U69" i="7"/>
  <c r="O69" i="7" s="1"/>
  <c r="AA86" i="7"/>
  <c r="W157" i="7"/>
  <c r="AA155" i="7"/>
  <c r="AA40" i="7"/>
  <c r="W68" i="7"/>
  <c r="W85" i="7"/>
  <c r="F21" i="3"/>
  <c r="F26" i="3"/>
  <c r="AA33" i="7"/>
  <c r="AA13" i="7"/>
  <c r="AB13" i="7" s="1"/>
  <c r="Q13" i="7" s="1"/>
  <c r="W11" i="7"/>
  <c r="W15" i="7"/>
  <c r="X15" i="7" s="1"/>
  <c r="P15" i="7" s="1"/>
  <c r="U15" i="7"/>
  <c r="O15" i="7" s="1"/>
  <c r="AA12" i="7"/>
  <c r="AB12" i="7" s="1"/>
  <c r="Q12" i="7" s="1"/>
  <c r="W14" i="7"/>
  <c r="X14" i="7" s="1"/>
  <c r="P14" i="7" s="1"/>
  <c r="U14" i="7"/>
  <c r="O14" i="7" s="1"/>
  <c r="W222" i="7"/>
  <c r="A5" i="8"/>
  <c r="A4" i="8"/>
  <c r="A3" i="8"/>
  <c r="AA104" i="7"/>
  <c r="K4" i="8"/>
  <c r="L4" i="8" s="1"/>
  <c r="AA21" i="7"/>
  <c r="AA19" i="7"/>
  <c r="W17" i="7"/>
  <c r="A45" i="6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A193" i="7"/>
  <c r="AB193" i="7" s="1"/>
  <c r="Q193" i="7" s="1"/>
  <c r="W240" i="7"/>
  <c r="W192" i="7"/>
  <c r="X192" i="7" s="1"/>
  <c r="P192" i="7" s="1"/>
  <c r="AA244" i="7"/>
  <c r="AA195" i="7"/>
  <c r="AB195" i="7" s="1"/>
  <c r="Q195" i="7" s="1"/>
  <c r="AA239" i="7"/>
  <c r="AB239" i="7" s="1"/>
  <c r="Q239" i="7" s="1"/>
  <c r="AA187" i="7"/>
  <c r="AB187" i="7" s="1"/>
  <c r="Q187" i="7" s="1"/>
  <c r="AV3" i="8"/>
  <c r="V4" i="7"/>
  <c r="Y10" i="3"/>
  <c r="N22" i="3"/>
  <c r="W284" i="7"/>
  <c r="X284" i="7" s="1"/>
  <c r="P284" i="7" s="1"/>
  <c r="W294" i="7"/>
  <c r="X294" i="7" s="1"/>
  <c r="P294" i="7" s="1"/>
  <c r="W5" i="8"/>
  <c r="AA31" i="7"/>
  <c r="AB31" i="7" s="1"/>
  <c r="Q31" i="7" s="1"/>
  <c r="U31" i="7"/>
  <c r="O31" i="7" s="1"/>
  <c r="AA201" i="7"/>
  <c r="AB201" i="7" s="1"/>
  <c r="Q201" i="7" s="1"/>
  <c r="W206" i="7"/>
  <c r="AA265" i="7"/>
  <c r="AB265" i="7" s="1"/>
  <c r="Q265" i="7" s="1"/>
  <c r="AA203" i="7"/>
  <c r="AB203" i="7" s="1"/>
  <c r="Q203" i="7" s="1"/>
  <c r="AA269" i="7"/>
  <c r="AB269" i="7" s="1"/>
  <c r="Q269" i="7" s="1"/>
  <c r="AA204" i="7"/>
  <c r="AA249" i="7"/>
  <c r="C5" i="8"/>
  <c r="B4" i="8"/>
  <c r="AP5" i="8"/>
  <c r="W112" i="7"/>
  <c r="X112" i="7" s="1"/>
  <c r="P112" i="7" s="1"/>
  <c r="U112" i="7"/>
  <c r="O112" i="7" s="1"/>
  <c r="AH5" i="8"/>
  <c r="W201" i="7"/>
  <c r="W39" i="7"/>
  <c r="X39" i="7" s="1"/>
  <c r="P39" i="7" s="1"/>
  <c r="W290" i="7"/>
  <c r="X290" i="7" s="1"/>
  <c r="P290" i="7" s="1"/>
  <c r="AA158" i="7"/>
  <c r="AD33" i="3"/>
  <c r="AB33" i="3" s="1"/>
  <c r="W45" i="7"/>
  <c r="X45" i="7" s="1"/>
  <c r="P45" i="7" s="1"/>
  <c r="W114" i="7"/>
  <c r="X114" i="7" s="1"/>
  <c r="P114" i="7" s="1"/>
  <c r="W122" i="7"/>
  <c r="X122" i="7" s="1"/>
  <c r="P122" i="7" s="1"/>
  <c r="W186" i="7"/>
  <c r="AA28" i="7"/>
  <c r="W187" i="7"/>
  <c r="W29" i="7"/>
  <c r="AA42" i="7"/>
  <c r="AA56" i="7"/>
  <c r="AB56" i="7" s="1"/>
  <c r="Q56" i="7" s="1"/>
  <c r="AA124" i="7"/>
  <c r="AB124" i="7" s="1"/>
  <c r="Q124" i="7" s="1"/>
  <c r="W33" i="7"/>
  <c r="W89" i="7"/>
  <c r="X89" i="7" s="1"/>
  <c r="W120" i="7"/>
  <c r="X120" i="7" s="1"/>
  <c r="P120" i="7" s="1"/>
  <c r="AA121" i="7"/>
  <c r="AB121" i="7" s="1"/>
  <c r="Q121" i="7" s="1"/>
  <c r="W18" i="7"/>
  <c r="W57" i="7"/>
  <c r="X57" i="7" s="1"/>
  <c r="P57" i="7" s="1"/>
  <c r="AA85" i="7"/>
  <c r="W86" i="7"/>
  <c r="AA96" i="7"/>
  <c r="AB96" i="7" s="1"/>
  <c r="Q96" i="7" s="1"/>
  <c r="W19" i="7"/>
  <c r="W31" i="7"/>
  <c r="X31" i="7" s="1"/>
  <c r="P31" i="7" s="1"/>
  <c r="AA55" i="7"/>
  <c r="AB55" i="7" s="1"/>
  <c r="Q55" i="7" s="1"/>
  <c r="U116" i="7"/>
  <c r="O116" i="7" s="1"/>
  <c r="W193" i="7"/>
  <c r="U233" i="7"/>
  <c r="O233" i="7" s="1"/>
  <c r="W244" i="7"/>
  <c r="W249" i="7"/>
  <c r="W116" i="7"/>
  <c r="X116" i="7" s="1"/>
  <c r="P116" i="7" s="1"/>
  <c r="AA222" i="7"/>
  <c r="W43" i="7"/>
  <c r="X43" i="7" s="1"/>
  <c r="P43" i="7" s="1"/>
  <c r="W53" i="7"/>
  <c r="X53" i="7" s="1"/>
  <c r="P53" i="7" s="1"/>
  <c r="U56" i="7"/>
  <c r="O56" i="7" s="1"/>
  <c r="U114" i="7"/>
  <c r="O114" i="7" s="1"/>
  <c r="W203" i="7"/>
  <c r="W204" i="7"/>
  <c r="AA247" i="7"/>
  <c r="U278" i="7"/>
  <c r="O278" i="7" s="1"/>
  <c r="AP4" i="8"/>
  <c r="AP3" i="8"/>
  <c r="W20" i="7"/>
  <c r="AA27" i="7"/>
  <c r="W38" i="7"/>
  <c r="W40" i="7"/>
  <c r="AA20" i="7"/>
  <c r="W21" i="7"/>
  <c r="AA38" i="7"/>
  <c r="AA52" i="7"/>
  <c r="W71" i="7"/>
  <c r="X71" i="7" s="1"/>
  <c r="P71" i="7" s="1"/>
  <c r="AA88" i="7"/>
  <c r="AB88" i="7" s="1"/>
  <c r="Q88" i="7" s="1"/>
  <c r="U89" i="7"/>
  <c r="AA91" i="7"/>
  <c r="AB91" i="7" s="1"/>
  <c r="Q91" i="7" s="1"/>
  <c r="W104" i="7"/>
  <c r="U115" i="7"/>
  <c r="O115" i="7" s="1"/>
  <c r="U117" i="7"/>
  <c r="O117" i="7" s="1"/>
  <c r="AA126" i="7"/>
  <c r="AB126" i="7" s="1"/>
  <c r="Q126" i="7" s="1"/>
  <c r="W148" i="7"/>
  <c r="X148" i="7" s="1"/>
  <c r="P148" i="7" s="1"/>
  <c r="AA206" i="7"/>
  <c r="AA233" i="7"/>
  <c r="AB233" i="7" s="1"/>
  <c r="Q233" i="7" s="1"/>
  <c r="AA256" i="7"/>
  <c r="AB256" i="7" s="1"/>
  <c r="Q256" i="7" s="1"/>
  <c r="W13" i="7"/>
  <c r="X13" i="7" s="1"/>
  <c r="P13" i="7" s="1"/>
  <c r="W22" i="7"/>
  <c r="U88" i="7"/>
  <c r="O88" i="7" s="1"/>
  <c r="U91" i="7"/>
  <c r="O91" i="7" s="1"/>
  <c r="AA118" i="7"/>
  <c r="AB118" i="7" s="1"/>
  <c r="Q118" i="7" s="1"/>
  <c r="W123" i="7"/>
  <c r="X123" i="7" s="1"/>
  <c r="P123" i="7" s="1"/>
  <c r="U126" i="7"/>
  <c r="O126" i="7" s="1"/>
  <c r="W149" i="7"/>
  <c r="W235" i="7"/>
  <c r="X235" i="7" s="1"/>
  <c r="P235" i="7" s="1"/>
  <c r="W255" i="7"/>
  <c r="X255" i="7" s="1"/>
  <c r="W265" i="7"/>
  <c r="W277" i="7"/>
  <c r="X277" i="7" s="1"/>
  <c r="P277" i="7" s="1"/>
  <c r="AA290" i="7"/>
  <c r="AA240" i="7"/>
  <c r="W153" i="7"/>
  <c r="AA106" i="7"/>
  <c r="W106" i="7"/>
  <c r="W155" i="7"/>
  <c r="B5" i="8"/>
  <c r="A17" i="3"/>
  <c r="V5" i="7"/>
  <c r="S5" i="7"/>
  <c r="Z5" i="7" s="1"/>
  <c r="X121" i="7"/>
  <c r="P121" i="7" s="1"/>
  <c r="X124" i="7"/>
  <c r="P124" i="7" s="1"/>
  <c r="AA36" i="7"/>
  <c r="W36" i="7"/>
  <c r="AA183" i="7"/>
  <c r="W183" i="7"/>
  <c r="N3" i="8"/>
  <c r="U122" i="7"/>
  <c r="O122" i="7" s="1"/>
  <c r="U120" i="7"/>
  <c r="O120" i="7" s="1"/>
  <c r="U124" i="7"/>
  <c r="O124" i="7" s="1"/>
  <c r="U121" i="7"/>
  <c r="O121" i="7" s="1"/>
  <c r="N5" i="8"/>
  <c r="AB123" i="7"/>
  <c r="Q123" i="7" s="1"/>
  <c r="AB122" i="7"/>
  <c r="Q122" i="7" s="1"/>
  <c r="AB120" i="7"/>
  <c r="Q120" i="7" s="1"/>
  <c r="W9" i="7"/>
  <c r="W12" i="7"/>
  <c r="X12" i="7" s="1"/>
  <c r="P12" i="7" s="1"/>
  <c r="AA15" i="7"/>
  <c r="AB15" i="7" s="1"/>
  <c r="Q15" i="7" s="1"/>
  <c r="W26" i="7"/>
  <c r="AA26" i="7"/>
  <c r="W51" i="7"/>
  <c r="AA51" i="7"/>
  <c r="W97" i="7"/>
  <c r="AA97" i="7"/>
  <c r="U123" i="7"/>
  <c r="O123" i="7" s="1"/>
  <c r="AA151" i="7"/>
  <c r="AB151" i="7" s="1"/>
  <c r="Q151" i="7" s="1"/>
  <c r="W151" i="7"/>
  <c r="X151" i="7" s="1"/>
  <c r="P151" i="7" s="1"/>
  <c r="N4" i="8"/>
  <c r="K5" i="8"/>
  <c r="L5" i="8" s="1"/>
  <c r="AA154" i="7"/>
  <c r="W154" i="7"/>
  <c r="AM3" i="8"/>
  <c r="AJ3" i="8"/>
  <c r="U255" i="7"/>
  <c r="U256" i="7"/>
  <c r="O256" i="7" s="1"/>
  <c r="U267" i="7"/>
  <c r="O267" i="7" s="1"/>
  <c r="AM4" i="8"/>
  <c r="AJ5" i="8"/>
  <c r="S4" i="7"/>
  <c r="Z4" i="7" s="1"/>
  <c r="W16" i="7"/>
  <c r="AA18" i="7"/>
  <c r="AA30" i="7"/>
  <c r="AB30" i="7" s="1"/>
  <c r="Q30" i="7" s="1"/>
  <c r="W30" i="7"/>
  <c r="X30" i="7" s="1"/>
  <c r="P30" i="7" s="1"/>
  <c r="W37" i="7"/>
  <c r="X37" i="7" s="1"/>
  <c r="P37" i="7" s="1"/>
  <c r="AA37" i="7"/>
  <c r="AB37" i="7" s="1"/>
  <c r="Q37" i="7" s="1"/>
  <c r="U37" i="7"/>
  <c r="O37" i="7" s="1"/>
  <c r="W58" i="7"/>
  <c r="X58" i="7" s="1"/>
  <c r="P58" i="7" s="1"/>
  <c r="AA58" i="7"/>
  <c r="AB58" i="7" s="1"/>
  <c r="Q58" i="7" s="1"/>
  <c r="U58" i="7"/>
  <c r="O58" i="7" s="1"/>
  <c r="W98" i="7"/>
  <c r="AA98" i="7"/>
  <c r="W113" i="7"/>
  <c r="AA113" i="7"/>
  <c r="AB113" i="7" s="1"/>
  <c r="Q113" i="7" s="1"/>
  <c r="K3" i="8"/>
  <c r="L3" i="8" s="1"/>
  <c r="AJ4" i="8"/>
  <c r="X256" i="7"/>
  <c r="P256" i="7" s="1"/>
  <c r="X267" i="7"/>
  <c r="P267" i="7" s="1"/>
  <c r="AC5" i="8"/>
  <c r="AM5" i="8"/>
  <c r="AA11" i="7"/>
  <c r="AB11" i="7" s="1"/>
  <c r="Q11" i="7" s="1"/>
  <c r="AA14" i="7"/>
  <c r="AB14" i="7" s="1"/>
  <c r="Q14" i="7" s="1"/>
  <c r="AA16" i="7"/>
  <c r="AA17" i="7"/>
  <c r="AA32" i="7"/>
  <c r="AB32" i="7" s="1"/>
  <c r="Q32" i="7" s="1"/>
  <c r="W32" i="7"/>
  <c r="X32" i="7" s="1"/>
  <c r="P32" i="7" s="1"/>
  <c r="AA34" i="7"/>
  <c r="AB34" i="7" s="1"/>
  <c r="W34" i="7"/>
  <c r="X34" i="7" s="1"/>
  <c r="AA39" i="7"/>
  <c r="AB39" i="7" s="1"/>
  <c r="Q39" i="7" s="1"/>
  <c r="AA53" i="7"/>
  <c r="AB53" i="7" s="1"/>
  <c r="Q53" i="7" s="1"/>
  <c r="W69" i="7"/>
  <c r="U73" i="7"/>
  <c r="O73" i="7" s="1"/>
  <c r="W270" i="7"/>
  <c r="AA270" i="7"/>
  <c r="AA35" i="7"/>
  <c r="W44" i="7"/>
  <c r="AA46" i="7"/>
  <c r="W50" i="7"/>
  <c r="X50" i="7" s="1"/>
  <c r="P50" i="7" s="1"/>
  <c r="W55" i="7"/>
  <c r="X55" i="7" s="1"/>
  <c r="P55" i="7" s="1"/>
  <c r="W118" i="7"/>
  <c r="X118" i="7" s="1"/>
  <c r="P118" i="7" s="1"/>
  <c r="AA147" i="7"/>
  <c r="AB147" i="7" s="1"/>
  <c r="Q147" i="7" s="1"/>
  <c r="U147" i="7"/>
  <c r="O147" i="7" s="1"/>
  <c r="W147" i="7"/>
  <c r="X147" i="7" s="1"/>
  <c r="P147" i="7" s="1"/>
  <c r="W195" i="7"/>
  <c r="AA44" i="7"/>
  <c r="AA50" i="7"/>
  <c r="AA105" i="7"/>
  <c r="W105" i="7"/>
  <c r="AA169" i="7"/>
  <c r="W181" i="7"/>
  <c r="X181" i="7" s="1"/>
  <c r="P181" i="7" s="1"/>
  <c r="AA181" i="7"/>
  <c r="AB181" i="7" s="1"/>
  <c r="Q181" i="7" s="1"/>
  <c r="U181" i="7"/>
  <c r="O181" i="7" s="1"/>
  <c r="W271" i="7"/>
  <c r="W291" i="7"/>
  <c r="X291" i="7" s="1"/>
  <c r="P291" i="7" s="1"/>
  <c r="AA291" i="7"/>
  <c r="W293" i="7"/>
  <c r="X293" i="7" s="1"/>
  <c r="P293" i="7" s="1"/>
  <c r="AA293" i="7"/>
  <c r="AB293" i="7" s="1"/>
  <c r="Q293" i="7" s="1"/>
  <c r="AA112" i="7"/>
  <c r="AB112" i="7" s="1"/>
  <c r="Q112" i="7" s="1"/>
  <c r="U125" i="7"/>
  <c r="O125" i="7" s="1"/>
  <c r="AA125" i="7"/>
  <c r="AB125" i="7" s="1"/>
  <c r="Q125" i="7" s="1"/>
  <c r="U148" i="7"/>
  <c r="O148" i="7" s="1"/>
  <c r="AA150" i="7"/>
  <c r="AB150" i="7" s="1"/>
  <c r="Q150" i="7" s="1"/>
  <c r="AA157" i="7"/>
  <c r="AA185" i="7"/>
  <c r="AB185" i="7" s="1"/>
  <c r="Q185" i="7" s="1"/>
  <c r="AA192" i="7"/>
  <c r="AB192" i="7" s="1"/>
  <c r="Q192" i="7" s="1"/>
  <c r="O198" i="7"/>
  <c r="Q198" i="7"/>
  <c r="W199" i="7"/>
  <c r="AA199" i="7"/>
  <c r="AB199" i="7" s="1"/>
  <c r="Q199" i="7" s="1"/>
  <c r="W202" i="7"/>
  <c r="AA202" i="7"/>
  <c r="AB202" i="7" s="1"/>
  <c r="Q202" i="7" s="1"/>
  <c r="W248" i="7"/>
  <c r="AA248" i="7"/>
  <c r="W285" i="7"/>
  <c r="X285" i="7" s="1"/>
  <c r="P285" i="7" s="1"/>
  <c r="AA285" i="7"/>
  <c r="AB285" i="7" s="1"/>
  <c r="Q285" i="7" s="1"/>
  <c r="AA57" i="7"/>
  <c r="AB57" i="7" s="1"/>
  <c r="Q57" i="7" s="1"/>
  <c r="AA68" i="7"/>
  <c r="AA71" i="7"/>
  <c r="AB71" i="7" s="1"/>
  <c r="Q71" i="7" s="1"/>
  <c r="W115" i="7"/>
  <c r="X115" i="7" s="1"/>
  <c r="P115" i="7" s="1"/>
  <c r="W117" i="7"/>
  <c r="X117" i="7" s="1"/>
  <c r="P117" i="7" s="1"/>
  <c r="W150" i="7"/>
  <c r="W185" i="7"/>
  <c r="P198" i="7"/>
  <c r="W250" i="7"/>
  <c r="AA250" i="7"/>
  <c r="AA232" i="7"/>
  <c r="AB232" i="7" s="1"/>
  <c r="Q232" i="7" s="1"/>
  <c r="U232" i="7"/>
  <c r="O232" i="7" s="1"/>
  <c r="W296" i="7"/>
  <c r="X296" i="7" s="1"/>
  <c r="P296" i="7" s="1"/>
  <c r="AA296" i="7"/>
  <c r="AB296" i="7" s="1"/>
  <c r="Q296" i="7" s="1"/>
  <c r="AA267" i="7"/>
  <c r="AB267" i="7" s="1"/>
  <c r="Q267" i="7" s="1"/>
  <c r="W269" i="7"/>
  <c r="X269" i="7" s="1"/>
  <c r="P269" i="7" s="1"/>
  <c r="AB277" i="7"/>
  <c r="Q277" i="7" s="1"/>
  <c r="AA292" i="7"/>
  <c r="W292" i="7"/>
  <c r="X292" i="7" s="1"/>
  <c r="P292" i="7" s="1"/>
  <c r="X270" i="7" l="1"/>
  <c r="P270" i="7" s="1"/>
  <c r="AB270" i="7"/>
  <c r="Q270" i="7" s="1"/>
  <c r="M170" i="7"/>
  <c r="I4" i="5"/>
  <c r="X49" i="7" s="1"/>
  <c r="I7" i="16"/>
  <c r="J7" i="16" s="1"/>
  <c r="H7" i="17"/>
  <c r="I7" i="17" s="1"/>
  <c r="I8" i="17" s="1"/>
  <c r="D2" i="17" s="1"/>
  <c r="I11" i="11"/>
  <c r="J11" i="11" s="1"/>
  <c r="I12" i="11" s="1"/>
  <c r="J12" i="11" s="1"/>
  <c r="AB68" i="7"/>
  <c r="Q68" i="7" s="1"/>
  <c r="J25" i="3"/>
  <c r="AR4" i="8" s="1"/>
  <c r="X68" i="7"/>
  <c r="P68" i="7" s="1"/>
  <c r="AB209" i="7"/>
  <c r="Q209" i="7" s="1"/>
  <c r="AB208" i="7"/>
  <c r="Q208" i="7" s="1"/>
  <c r="P255" i="7"/>
  <c r="O255" i="7"/>
  <c r="A26" i="3"/>
  <c r="AB40" i="7"/>
  <c r="Q40" i="7" s="1"/>
  <c r="X40" i="7"/>
  <c r="P40" i="7" s="1"/>
  <c r="AB291" i="7"/>
  <c r="Q291" i="7" s="1"/>
  <c r="AB292" i="7"/>
  <c r="Q292" i="7" s="1"/>
  <c r="AB290" i="7"/>
  <c r="Q290" i="7" s="1"/>
  <c r="AB284" i="7"/>
  <c r="Q284" i="7" s="1"/>
  <c r="O25" i="3"/>
  <c r="A15" i="4"/>
  <c r="X62" i="7"/>
  <c r="P62" i="7" s="1"/>
  <c r="X63" i="7"/>
  <c r="P63" i="7" s="1"/>
  <c r="X143" i="7"/>
  <c r="P143" i="7" s="1"/>
  <c r="X144" i="7"/>
  <c r="P144" i="7" s="1"/>
  <c r="X101" i="7"/>
  <c r="P101" i="7" s="1"/>
  <c r="X103" i="7"/>
  <c r="P103" i="7" s="1"/>
  <c r="D48" i="12"/>
  <c r="D49" i="12" s="1"/>
  <c r="D4" i="12"/>
  <c r="X61" i="7"/>
  <c r="P61" i="7" s="1"/>
  <c r="X64" i="7"/>
  <c r="P64" i="7" s="1"/>
  <c r="X65" i="7"/>
  <c r="P65" i="7" s="1"/>
  <c r="X66" i="7"/>
  <c r="P66" i="7" s="1"/>
  <c r="A105" i="6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X75" i="7"/>
  <c r="P75" i="7" s="1"/>
  <c r="X74" i="7"/>
  <c r="P74" i="7" s="1"/>
  <c r="X11" i="7"/>
  <c r="P11" i="7" s="1"/>
  <c r="W4" i="8"/>
  <c r="X133" i="7"/>
  <c r="P133" i="7" s="1"/>
  <c r="X142" i="7"/>
  <c r="P142" i="7" s="1"/>
  <c r="X139" i="7"/>
  <c r="P139" i="7" s="1"/>
  <c r="X136" i="7"/>
  <c r="P136" i="7" s="1"/>
  <c r="P128" i="7"/>
  <c r="X130" i="7"/>
  <c r="P130" i="7" s="1"/>
  <c r="X140" i="7"/>
  <c r="P140" i="7" s="1"/>
  <c r="X137" i="7"/>
  <c r="P137" i="7" s="1"/>
  <c r="X132" i="7"/>
  <c r="P132" i="7" s="1"/>
  <c r="X138" i="7"/>
  <c r="P138" i="7" s="1"/>
  <c r="X141" i="7"/>
  <c r="P141" i="7" s="1"/>
  <c r="X129" i="7"/>
  <c r="P129" i="7" s="1"/>
  <c r="X131" i="7"/>
  <c r="P131" i="7" s="1"/>
  <c r="Y26" i="3"/>
  <c r="AV4" i="8"/>
  <c r="AB5" i="8"/>
  <c r="AQ5" i="8"/>
  <c r="AB69" i="7"/>
  <c r="Q69" i="7" s="1"/>
  <c r="AQ4" i="8"/>
  <c r="X69" i="7"/>
  <c r="P69" i="7" s="1"/>
  <c r="AQ3" i="8"/>
  <c r="S6" i="7"/>
  <c r="Z6" i="7" s="1"/>
  <c r="V6" i="7"/>
  <c r="M171" i="7" l="1"/>
  <c r="E6" i="11"/>
  <c r="J8" i="16"/>
  <c r="E2" i="16" s="1"/>
  <c r="L7" i="16"/>
  <c r="L11" i="11"/>
  <c r="J7" i="17"/>
  <c r="K7" i="17"/>
  <c r="P49" i="7"/>
  <c r="A16" i="4"/>
  <c r="A153" i="6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D50" i="12"/>
  <c r="O23" i="3" s="1"/>
  <c r="S7" i="7"/>
  <c r="Z7" i="7" s="1"/>
  <c r="V7" i="7"/>
  <c r="S172" i="7" l="1"/>
  <c r="M172" i="7"/>
  <c r="K6" i="11"/>
  <c r="X97" i="7" s="1"/>
  <c r="P97" i="7" s="1"/>
  <c r="K7" i="16"/>
  <c r="K11" i="11"/>
  <c r="X99" i="7" s="1"/>
  <c r="P99" i="7" s="1"/>
  <c r="A17" i="4"/>
  <c r="X207" i="7"/>
  <c r="D72" i="12"/>
  <c r="S8" i="7"/>
  <c r="Z8" i="7" s="1"/>
  <c r="V8" i="7"/>
  <c r="S173" i="7" l="1"/>
  <c r="Z173" i="7" s="1"/>
  <c r="M173" i="7"/>
  <c r="V173" i="7"/>
  <c r="R23" i="3"/>
  <c r="X209" i="7"/>
  <c r="P209" i="7" s="1"/>
  <c r="P207" i="7"/>
  <c r="X208" i="7"/>
  <c r="P208" i="7" s="1"/>
  <c r="X202" i="7"/>
  <c r="P202" i="7" s="1"/>
  <c r="A18" i="4"/>
  <c r="X213" i="7"/>
  <c r="P213" i="7" s="1"/>
  <c r="X265" i="7"/>
  <c r="P265" i="7" s="1"/>
  <c r="J23" i="3"/>
  <c r="AH4" i="8" s="1"/>
  <c r="X199" i="7"/>
  <c r="P199" i="7" s="1"/>
  <c r="X201" i="7"/>
  <c r="P201" i="7" s="1"/>
  <c r="X206" i="7"/>
  <c r="P206" i="7" s="1"/>
  <c r="X211" i="7"/>
  <c r="P211" i="7" s="1"/>
  <c r="X203" i="7"/>
  <c r="P203" i="7" s="1"/>
  <c r="D71" i="12"/>
  <c r="D73" i="12" s="1"/>
  <c r="X214" i="7" s="1"/>
  <c r="P214" i="7" s="1"/>
  <c r="AC4" i="8"/>
  <c r="V9" i="7"/>
  <c r="S9" i="7"/>
  <c r="V174" i="7" l="1"/>
  <c r="S174" i="7"/>
  <c r="Z174" i="7" s="1"/>
  <c r="M174" i="7"/>
  <c r="V24" i="3"/>
  <c r="X220" i="7" s="1"/>
  <c r="A19" i="4"/>
  <c r="Z9" i="7"/>
  <c r="V10" i="7"/>
  <c r="S10" i="7"/>
  <c r="Z10" i="7" s="1"/>
  <c r="X219" i="7" l="1"/>
  <c r="P219" i="7" s="1"/>
  <c r="X218" i="7"/>
  <c r="M175" i="7"/>
  <c r="V175" i="7"/>
  <c r="S175" i="7"/>
  <c r="Z175" i="7" s="1"/>
  <c r="X217" i="7"/>
  <c r="X216" i="7"/>
  <c r="P216" i="7" s="1"/>
  <c r="X215" i="7"/>
  <c r="P215" i="7" s="1"/>
  <c r="A20" i="4"/>
  <c r="S11" i="7"/>
  <c r="Z11" i="7" s="1"/>
  <c r="V11" i="7"/>
  <c r="M176" i="7" l="1"/>
  <c r="S176" i="7"/>
  <c r="Z176" i="7" s="1"/>
  <c r="V176" i="7"/>
  <c r="A21" i="4"/>
  <c r="B24" i="4"/>
  <c r="V75" i="5" s="1"/>
  <c r="C25" i="4"/>
  <c r="R36" i="3" s="1"/>
  <c r="AK38" i="3" s="1"/>
  <c r="B25" i="4"/>
  <c r="R20" i="3" s="1"/>
  <c r="AK22" i="3" s="1"/>
  <c r="V12" i="7"/>
  <c r="S12" i="7"/>
  <c r="Z12" i="7" s="1"/>
  <c r="M177" i="7" l="1"/>
  <c r="S177" i="7"/>
  <c r="Z177" i="7" s="1"/>
  <c r="V177" i="7"/>
  <c r="X38" i="7"/>
  <c r="P38" i="7" s="1"/>
  <c r="AB38" i="7"/>
  <c r="X26" i="7"/>
  <c r="J5" i="8"/>
  <c r="AB26" i="7"/>
  <c r="X35" i="7"/>
  <c r="P35" i="7" s="1"/>
  <c r="J4" i="8"/>
  <c r="AB35" i="7"/>
  <c r="Q35" i="7" s="1"/>
  <c r="A24" i="4"/>
  <c r="T75" i="5" s="1"/>
  <c r="C24" i="4"/>
  <c r="X75" i="5" s="1"/>
  <c r="A25" i="4"/>
  <c r="R4" i="3" s="1"/>
  <c r="S13" i="7"/>
  <c r="V13" i="7"/>
  <c r="M178" i="7" l="1"/>
  <c r="S178" i="7"/>
  <c r="Z178" i="7" s="1"/>
  <c r="V178" i="7"/>
  <c r="AK6" i="3"/>
  <c r="U34" i="7"/>
  <c r="Q26" i="7"/>
  <c r="Q238" i="7"/>
  <c r="P26" i="7"/>
  <c r="P238" i="7"/>
  <c r="U38" i="7"/>
  <c r="O38" i="7" s="1"/>
  <c r="U35" i="7"/>
  <c r="O35" i="7" s="1"/>
  <c r="J3" i="8"/>
  <c r="Z13" i="7"/>
  <c r="U13" i="7"/>
  <c r="O13" i="7" s="1"/>
  <c r="S14" i="7"/>
  <c r="Z14" i="7" s="1"/>
  <c r="V14" i="7"/>
  <c r="V179" i="7" l="1"/>
  <c r="M179" i="7"/>
  <c r="S179" i="7"/>
  <c r="Z179" i="7" s="1"/>
  <c r="S15" i="7"/>
  <c r="Z15" i="7" s="1"/>
  <c r="V15" i="7"/>
  <c r="M190" i="7" l="1"/>
  <c r="V180" i="7"/>
  <c r="M180" i="7"/>
  <c r="S180" i="7"/>
  <c r="Z180" i="7" s="1"/>
  <c r="V16" i="7"/>
  <c r="S16" i="7"/>
  <c r="Z16" i="7" s="1"/>
  <c r="M191" i="7" l="1"/>
  <c r="M181" i="7"/>
  <c r="S181" i="7"/>
  <c r="S17" i="7"/>
  <c r="Z17" i="7" s="1"/>
  <c r="V17" i="7"/>
  <c r="M192" i="7" l="1"/>
  <c r="M182" i="7"/>
  <c r="V18" i="7"/>
  <c r="S18" i="7"/>
  <c r="Z18" i="7" s="1"/>
  <c r="M183" i="7" l="1"/>
  <c r="V19" i="7"/>
  <c r="S19" i="7"/>
  <c r="Z19" i="7" s="1"/>
  <c r="M197" i="7" l="1"/>
  <c r="S210" i="7"/>
  <c r="Z210" i="7" s="1"/>
  <c r="V210" i="7"/>
  <c r="M210" i="7"/>
  <c r="S184" i="7"/>
  <c r="Z184" i="7" s="1"/>
  <c r="M184" i="7"/>
  <c r="V184" i="7"/>
  <c r="V20" i="7"/>
  <c r="S20" i="7"/>
  <c r="Z20" i="7" s="1"/>
  <c r="M211" i="7" l="1"/>
  <c r="M185" i="7"/>
  <c r="S185" i="7"/>
  <c r="V21" i="7"/>
  <c r="S21" i="7"/>
  <c r="Z21" i="7" s="1"/>
  <c r="V236" i="7" l="1"/>
  <c r="M236" i="7"/>
  <c r="S236" i="7"/>
  <c r="Z236" i="7" s="1"/>
  <c r="M186" i="7"/>
  <c r="S26" i="7"/>
  <c r="S25" i="7"/>
  <c r="Z25" i="7" s="1"/>
  <c r="V25" i="7"/>
  <c r="S24" i="7"/>
  <c r="Z24" i="7" s="1"/>
  <c r="V24" i="7"/>
  <c r="V22" i="7"/>
  <c r="S22" i="7"/>
  <c r="Z22" i="7" s="1"/>
  <c r="M237" i="7" l="1"/>
  <c r="M188" i="7"/>
  <c r="S188" i="7"/>
  <c r="Z188" i="7" s="1"/>
  <c r="V188" i="7"/>
  <c r="M187" i="7"/>
  <c r="Z26" i="7"/>
  <c r="V26" i="7"/>
  <c r="M238" i="7" l="1"/>
  <c r="M189" i="7"/>
  <c r="V27" i="7"/>
  <c r="S27" i="7"/>
  <c r="V191" i="7" l="1"/>
  <c r="S191" i="7"/>
  <c r="Z191" i="7" s="1"/>
  <c r="V190" i="7"/>
  <c r="S190" i="7"/>
  <c r="Z190" i="7" s="1"/>
  <c r="Z27" i="7"/>
  <c r="S28" i="7"/>
  <c r="Z28" i="7" s="1"/>
  <c r="V28" i="7"/>
  <c r="M193" i="7" l="1"/>
  <c r="S29" i="7"/>
  <c r="Z29" i="7" s="1"/>
  <c r="V29" i="7"/>
  <c r="M194" i="7" l="1"/>
  <c r="V30" i="7"/>
  <c r="S30" i="7"/>
  <c r="Z30" i="7" s="1"/>
  <c r="M195" i="7" l="1"/>
  <c r="S31" i="7"/>
  <c r="Z31" i="7" s="1"/>
  <c r="V31" i="7"/>
  <c r="S196" i="7" l="1"/>
  <c r="Z196" i="7" s="1"/>
  <c r="M196" i="7"/>
  <c r="V196" i="7"/>
  <c r="V32" i="7"/>
  <c r="S32" i="7"/>
  <c r="Z32" i="7" s="1"/>
  <c r="M198" i="7" l="1"/>
  <c r="S33" i="7"/>
  <c r="Z33" i="7" s="1"/>
  <c r="V33" i="7"/>
  <c r="M199" i="7" l="1"/>
  <c r="V34" i="7"/>
  <c r="S34" i="7"/>
  <c r="Z34" i="7" s="1"/>
  <c r="M200" i="7" l="1"/>
  <c r="S35" i="7"/>
  <c r="Z35" i="7" s="1"/>
  <c r="V35" i="7"/>
  <c r="M201" i="7" l="1"/>
  <c r="V36" i="7"/>
  <c r="S36" i="7"/>
  <c r="Z36" i="7" s="1"/>
  <c r="M202" i="7" l="1"/>
  <c r="S37" i="7"/>
  <c r="Z37" i="7" s="1"/>
  <c r="V37" i="7"/>
  <c r="M203" i="7" l="1"/>
  <c r="V38" i="7"/>
  <c r="S38" i="7"/>
  <c r="Z38" i="7" s="1"/>
  <c r="M204" i="7" l="1"/>
  <c r="S39" i="7"/>
  <c r="V39" i="7"/>
  <c r="S205" i="7" l="1"/>
  <c r="Z205" i="7" s="1"/>
  <c r="M205" i="7"/>
  <c r="V205" i="7"/>
  <c r="Z39" i="7"/>
  <c r="V40" i="7"/>
  <c r="S40" i="7"/>
  <c r="Z40" i="7" s="1"/>
  <c r="M206" i="7" l="1"/>
  <c r="Z42" i="7"/>
  <c r="M207" i="7" l="1"/>
  <c r="V207" i="7"/>
  <c r="S207" i="7"/>
  <c r="Z207" i="7" s="1"/>
  <c r="S43" i="7"/>
  <c r="V43" i="7"/>
  <c r="M208" i="7" l="1"/>
  <c r="S208" i="7"/>
  <c r="Z43" i="7"/>
  <c r="V44" i="7"/>
  <c r="X44" i="7" s="1"/>
  <c r="P44" i="7" s="1"/>
  <c r="S44" i="7"/>
  <c r="M209" i="7" l="1"/>
  <c r="V209" i="7"/>
  <c r="S209" i="7"/>
  <c r="Z209" i="7" s="1"/>
  <c r="Z44" i="7"/>
  <c r="AB44" i="7" s="1"/>
  <c r="Q44" i="7" s="1"/>
  <c r="U44" i="7"/>
  <c r="O44" i="7" s="1"/>
  <c r="V45" i="7"/>
  <c r="S45" i="7"/>
  <c r="Z45" i="7" l="1"/>
  <c r="S46" i="7"/>
  <c r="Z46" i="7" s="1"/>
  <c r="AB46" i="7" s="1"/>
  <c r="Q46" i="7" s="1"/>
  <c r="V46" i="7"/>
  <c r="X46" i="7" s="1"/>
  <c r="P46" i="7" s="1"/>
  <c r="M212" i="7" l="1"/>
  <c r="O49" i="7"/>
  <c r="O45" i="7"/>
  <c r="V49" i="7"/>
  <c r="Z49" i="7"/>
  <c r="M213" i="7" l="1"/>
  <c r="V50" i="7"/>
  <c r="S50" i="7"/>
  <c r="Z50" i="7" s="1"/>
  <c r="AB50" i="7" s="1"/>
  <c r="M214" i="7" l="1"/>
  <c r="Q50" i="7"/>
  <c r="Q49" i="7"/>
  <c r="S51" i="7"/>
  <c r="Z51" i="7" s="1"/>
  <c r="V51" i="7"/>
  <c r="M215" i="7" l="1"/>
  <c r="V52" i="7"/>
  <c r="X52" i="7" s="1"/>
  <c r="P52" i="7" s="1"/>
  <c r="S52" i="7"/>
  <c r="U52" i="7" s="1"/>
  <c r="O52" i="7" s="1"/>
  <c r="M216" i="7" l="1"/>
  <c r="S216" i="7"/>
  <c r="Z216" i="7" s="1"/>
  <c r="V216" i="7"/>
  <c r="V54" i="7"/>
  <c r="S54" i="7"/>
  <c r="Z52" i="7"/>
  <c r="AB52" i="7" s="1"/>
  <c r="Q52" i="7" s="1"/>
  <c r="S53" i="7"/>
  <c r="Z53" i="7" s="1"/>
  <c r="V53" i="7"/>
  <c r="S217" i="7" l="1"/>
  <c r="Z217" i="7" s="1"/>
  <c r="M217" i="7"/>
  <c r="V217" i="7"/>
  <c r="V55" i="7"/>
  <c r="S55" i="7"/>
  <c r="Z55" i="7" s="1"/>
  <c r="S218" i="7" l="1"/>
  <c r="Z218" i="7" s="1"/>
  <c r="V220" i="7"/>
  <c r="V218" i="7"/>
  <c r="M218" i="7"/>
  <c r="S56" i="7"/>
  <c r="Z56" i="7" s="1"/>
  <c r="V56" i="7"/>
  <c r="Z220" i="7" l="1"/>
  <c r="S57" i="7"/>
  <c r="Z57" i="7" s="1"/>
  <c r="V57" i="7"/>
  <c r="V221" i="7" l="1"/>
  <c r="S221" i="7"/>
  <c r="Z221" i="7" s="1"/>
  <c r="S58" i="7"/>
  <c r="Z58" i="7" s="1"/>
  <c r="V58" i="7"/>
  <c r="M222" i="7" l="1"/>
  <c r="S60" i="7"/>
  <c r="X60" i="7"/>
  <c r="P60" i="7" s="1"/>
  <c r="M223" i="7" l="1"/>
  <c r="U60" i="7"/>
  <c r="O60" i="7" s="1"/>
  <c r="S62" i="7"/>
  <c r="V62" i="7"/>
  <c r="Z60" i="7"/>
  <c r="AB60" i="7" s="1"/>
  <c r="Q60" i="7" s="1"/>
  <c r="S61" i="7"/>
  <c r="Z61" i="7" s="1"/>
  <c r="V61" i="7"/>
  <c r="M224" i="7" l="1"/>
  <c r="V224" i="7"/>
  <c r="S224" i="7"/>
  <c r="Z224" i="7" s="1"/>
  <c r="Z62" i="7"/>
  <c r="U62" i="7"/>
  <c r="O62" i="7" s="1"/>
  <c r="AD60" i="7"/>
  <c r="S63" i="7"/>
  <c r="Z63" i="7" s="1"/>
  <c r="V63" i="7"/>
  <c r="U61" i="7"/>
  <c r="O61" i="7" s="1"/>
  <c r="V225" i="7" l="1"/>
  <c r="S225" i="7"/>
  <c r="Z225" i="7" s="1"/>
  <c r="M225" i="7"/>
  <c r="V64" i="7"/>
  <c r="S64" i="7"/>
  <c r="Z64" i="7" s="1"/>
  <c r="U64" i="7"/>
  <c r="O64" i="7" s="1"/>
  <c r="V65" i="7"/>
  <c r="S65" i="7"/>
  <c r="Z65" i="7" s="1"/>
  <c r="S226" i="7" l="1"/>
  <c r="Z226" i="7" s="1"/>
  <c r="V226" i="7"/>
  <c r="M226" i="7"/>
  <c r="V66" i="7"/>
  <c r="S66" i="7"/>
  <c r="U66" i="7" s="1"/>
  <c r="O66" i="7" s="1"/>
  <c r="V227" i="7" l="1"/>
  <c r="S227" i="7"/>
  <c r="Z227" i="7" s="1"/>
  <c r="M227" i="7"/>
  <c r="Z66" i="7"/>
  <c r="V67" i="7"/>
  <c r="X67" i="7" s="1"/>
  <c r="P67" i="7" s="1"/>
  <c r="S67" i="7"/>
  <c r="M230" i="7" l="1"/>
  <c r="V228" i="7"/>
  <c r="M228" i="7"/>
  <c r="S228" i="7"/>
  <c r="Z228" i="7" s="1"/>
  <c r="Z67" i="7"/>
  <c r="AB67" i="7" s="1"/>
  <c r="Q67" i="7" s="1"/>
  <c r="U67" i="7"/>
  <c r="O67" i="7" s="1"/>
  <c r="V68" i="7"/>
  <c r="S68" i="7"/>
  <c r="V230" i="7" l="1"/>
  <c r="S230" i="7"/>
  <c r="Z230" i="7" s="1"/>
  <c r="M229" i="7"/>
  <c r="V229" i="7"/>
  <c r="S229" i="7"/>
  <c r="Z229" i="7" s="1"/>
  <c r="U234" i="7"/>
  <c r="O234" i="7" s="1"/>
  <c r="Z68" i="7"/>
  <c r="S70" i="7"/>
  <c r="Z70" i="7" s="1"/>
  <c r="V70" i="7"/>
  <c r="S69" i="7"/>
  <c r="Z69" i="7" s="1"/>
  <c r="V69" i="7"/>
  <c r="M231" i="7" l="1"/>
  <c r="S231" i="7"/>
  <c r="Z231" i="7" s="1"/>
  <c r="V231" i="7"/>
  <c r="V72" i="7"/>
  <c r="S72" i="7"/>
  <c r="Z72" i="7" s="1"/>
  <c r="S71" i="7"/>
  <c r="Z71" i="7" s="1"/>
  <c r="V71" i="7"/>
  <c r="M232" i="7" l="1"/>
  <c r="S79" i="7"/>
  <c r="Z79" i="7" s="1"/>
  <c r="V79" i="7"/>
  <c r="V76" i="7"/>
  <c r="S76" i="7"/>
  <c r="Z76" i="7" s="1"/>
  <c r="S73" i="7"/>
  <c r="Z73" i="7" s="1"/>
  <c r="V73" i="7"/>
  <c r="V75" i="7"/>
  <c r="S75" i="7"/>
  <c r="Z75" i="7" s="1"/>
  <c r="AB75" i="7" s="1"/>
  <c r="Q75" i="7" s="1"/>
  <c r="V74" i="7"/>
  <c r="S74" i="7"/>
  <c r="M233" i="7" l="1"/>
  <c r="V80" i="7"/>
  <c r="S80" i="7"/>
  <c r="Z80" i="7" s="1"/>
  <c r="Z74" i="7"/>
  <c r="U74" i="7"/>
  <c r="O74" i="7" s="1"/>
  <c r="M234" i="7" l="1"/>
  <c r="V234" i="7"/>
  <c r="S234" i="7"/>
  <c r="Z234" i="7" s="1"/>
  <c r="V81" i="7"/>
  <c r="S81" i="7"/>
  <c r="Z81" i="7" s="1"/>
  <c r="S77" i="7"/>
  <c r="V77" i="7"/>
  <c r="V237" i="7" l="1"/>
  <c r="X237" i="7" s="1"/>
  <c r="P237" i="7" s="1"/>
  <c r="S237" i="7"/>
  <c r="M235" i="7"/>
  <c r="Z77" i="7"/>
  <c r="S78" i="7"/>
  <c r="Z78" i="7" s="1"/>
  <c r="V78" i="7"/>
  <c r="Z237" i="7" l="1"/>
  <c r="AB237" i="7" s="1"/>
  <c r="Q237" i="7" s="1"/>
  <c r="U237" i="7"/>
  <c r="O237" i="7" s="1"/>
  <c r="S238" i="7"/>
  <c r="Z238" i="7" s="1"/>
  <c r="V238" i="7"/>
  <c r="U243" i="7"/>
  <c r="O243" i="7" s="1"/>
  <c r="V82" i="7"/>
  <c r="S82" i="7"/>
  <c r="M239" i="7" l="1"/>
  <c r="S239" i="7"/>
  <c r="V239" i="7"/>
  <c r="Z82" i="7"/>
  <c r="V83" i="7"/>
  <c r="S83" i="7"/>
  <c r="Z83" i="7" s="1"/>
  <c r="M240" i="7" l="1"/>
  <c r="S84" i="7"/>
  <c r="Z84" i="7" s="1"/>
  <c r="V84" i="7"/>
  <c r="M241" i="7" l="1"/>
  <c r="S241" i="7"/>
  <c r="Z241" i="7" s="1"/>
  <c r="V241" i="7"/>
  <c r="V85" i="7"/>
  <c r="S85" i="7"/>
  <c r="Z85" i="7" s="1"/>
  <c r="M242" i="7" l="1"/>
  <c r="V86" i="7"/>
  <c r="S86" i="7"/>
  <c r="Z86" i="7" s="1"/>
  <c r="V243" i="7" l="1"/>
  <c r="M243" i="7"/>
  <c r="S243" i="7"/>
  <c r="Z243" i="7" s="1"/>
  <c r="V87" i="7"/>
  <c r="S87" i="7"/>
  <c r="Z87" i="7" s="1"/>
  <c r="M244" i="7" l="1"/>
  <c r="V88" i="7"/>
  <c r="S88" i="7"/>
  <c r="Z88" i="7" s="1"/>
  <c r="M246" i="7" l="1"/>
  <c r="V246" i="7"/>
  <c r="S246" i="7"/>
  <c r="Z246" i="7" s="1"/>
  <c r="M245" i="7"/>
  <c r="V89" i="7"/>
  <c r="S89" i="7"/>
  <c r="Z89" i="7" s="1"/>
  <c r="U98" i="7"/>
  <c r="O98" i="7" s="1"/>
  <c r="M247" i="7" l="1"/>
  <c r="S90" i="7"/>
  <c r="Z90" i="7" s="1"/>
  <c r="V90" i="7"/>
  <c r="M248" i="7" l="1"/>
  <c r="V91" i="7"/>
  <c r="S91" i="7"/>
  <c r="Z91" i="7" s="1"/>
  <c r="M249" i="7" l="1"/>
  <c r="V92" i="7"/>
  <c r="S92" i="7"/>
  <c r="Z92" i="7" s="1"/>
  <c r="M250" i="7" l="1"/>
  <c r="V93" i="7"/>
  <c r="S93" i="7"/>
  <c r="Z93" i="7" s="1"/>
  <c r="M251" i="7" l="1"/>
  <c r="V94" i="7"/>
  <c r="S94" i="7"/>
  <c r="Z94" i="7" s="1"/>
  <c r="O99" i="7"/>
  <c r="M252" i="7" l="1"/>
  <c r="V95" i="7"/>
  <c r="S95" i="7"/>
  <c r="Z95" i="7" s="1"/>
  <c r="M253" i="7" l="1"/>
  <c r="U258" i="7"/>
  <c r="O258" i="7" s="1"/>
  <c r="V96" i="7"/>
  <c r="X96" i="7" s="1"/>
  <c r="P96" i="7" s="1"/>
  <c r="S96" i="7"/>
  <c r="S254" i="7" l="1"/>
  <c r="Z254" i="7" s="1"/>
  <c r="V254" i="7"/>
  <c r="M254" i="7"/>
  <c r="Z96" i="7"/>
  <c r="S97" i="7"/>
  <c r="Z97" i="7" s="1"/>
  <c r="V97" i="7"/>
  <c r="M255" i="7" l="1"/>
  <c r="V98" i="7"/>
  <c r="X98" i="7" s="1"/>
  <c r="P98" i="7" s="1"/>
  <c r="S98" i="7"/>
  <c r="Z98" i="7" s="1"/>
  <c r="AB98" i="7" s="1"/>
  <c r="Q98" i="7" s="1"/>
  <c r="M256" i="7" l="1"/>
  <c r="S99" i="7"/>
  <c r="Z99" i="7" s="1"/>
  <c r="V99" i="7"/>
  <c r="V257" i="7" l="1"/>
  <c r="S257" i="7"/>
  <c r="Z257" i="7" s="1"/>
  <c r="M257" i="7"/>
  <c r="V100" i="7"/>
  <c r="X100" i="7" s="1"/>
  <c r="P100" i="7" s="1"/>
  <c r="S100" i="7"/>
  <c r="Z100" i="7" s="1"/>
  <c r="V258" i="7" l="1"/>
  <c r="S258" i="7"/>
  <c r="Z258" i="7" s="1"/>
  <c r="M258" i="7"/>
  <c r="U263" i="7"/>
  <c r="O263" i="7" s="1"/>
  <c r="V101" i="7"/>
  <c r="S101" i="7"/>
  <c r="Z101" i="7" s="1"/>
  <c r="M259" i="7" l="1"/>
  <c r="V259" i="7"/>
  <c r="S259" i="7"/>
  <c r="Z259" i="7" s="1"/>
  <c r="S102" i="7"/>
  <c r="Z102" i="7" s="1"/>
  <c r="V102" i="7"/>
  <c r="V260" i="7" l="1"/>
  <c r="M260" i="7"/>
  <c r="S260" i="7"/>
  <c r="Z260" i="7" s="1"/>
  <c r="S103" i="7"/>
  <c r="Z103" i="7" s="1"/>
  <c r="V103" i="7"/>
  <c r="V261" i="7" l="1"/>
  <c r="S261" i="7"/>
  <c r="Z261" i="7" s="1"/>
  <c r="M261" i="7"/>
  <c r="V104" i="7"/>
  <c r="X104" i="7" s="1"/>
  <c r="P104" i="7" s="1"/>
  <c r="S104" i="7"/>
  <c r="V262" i="7" l="1"/>
  <c r="S262" i="7"/>
  <c r="Z262" i="7" s="1"/>
  <c r="M262" i="7"/>
  <c r="Z104" i="7"/>
  <c r="AB104" i="7" s="1"/>
  <c r="Q104" i="7" s="1"/>
  <c r="U104" i="7"/>
  <c r="O104" i="7" s="1"/>
  <c r="S105" i="7"/>
  <c r="Z105" i="7" s="1"/>
  <c r="V105" i="7"/>
  <c r="M263" i="7" l="1"/>
  <c r="S263" i="7"/>
  <c r="Z263" i="7" s="1"/>
  <c r="AB263" i="7" s="1"/>
  <c r="Q263" i="7" s="1"/>
  <c r="V263" i="7"/>
  <c r="S106" i="7"/>
  <c r="Z106" i="7" s="1"/>
  <c r="V106" i="7"/>
  <c r="V264" i="7" l="1"/>
  <c r="S264" i="7"/>
  <c r="M264" i="7"/>
  <c r="V107" i="7"/>
  <c r="S107" i="7"/>
  <c r="Z107" i="7" s="1"/>
  <c r="Z264" i="7" l="1"/>
  <c r="U264" i="7"/>
  <c r="O264" i="7" s="1"/>
  <c r="M265" i="7"/>
  <c r="S265" i="7"/>
  <c r="V108" i="7"/>
  <c r="S108" i="7"/>
  <c r="Z108" i="7" s="1"/>
  <c r="M266" i="7" l="1"/>
  <c r="V266" i="7"/>
  <c r="S266" i="7"/>
  <c r="Z266" i="7" s="1"/>
  <c r="V109" i="7"/>
  <c r="S109" i="7"/>
  <c r="Z109" i="7" s="1"/>
  <c r="M267" i="7" l="1"/>
  <c r="S110" i="7"/>
  <c r="Z110" i="7" s="1"/>
  <c r="V110" i="7"/>
  <c r="M268" i="7" l="1"/>
  <c r="V111" i="7"/>
  <c r="S111" i="7"/>
  <c r="Z111" i="7" s="1"/>
  <c r="M269" i="7" l="1"/>
  <c r="S112" i="7"/>
  <c r="Z112" i="7" s="1"/>
  <c r="V112" i="7"/>
  <c r="M270" i="7" l="1"/>
  <c r="V113" i="7"/>
  <c r="S113" i="7"/>
  <c r="Z113" i="7" s="1"/>
  <c r="M271" i="7" l="1"/>
  <c r="S114" i="7"/>
  <c r="Z114" i="7" s="1"/>
  <c r="V114" i="7"/>
  <c r="M272" i="7" l="1"/>
  <c r="V272" i="7"/>
  <c r="S272" i="7"/>
  <c r="Z272" i="7" s="1"/>
  <c r="S115" i="7"/>
  <c r="Z115" i="7" s="1"/>
  <c r="V115" i="7"/>
  <c r="M275" i="7" l="1"/>
  <c r="S273" i="7"/>
  <c r="Z273" i="7" s="1"/>
  <c r="V273" i="7"/>
  <c r="M273" i="7"/>
  <c r="S116" i="7"/>
  <c r="Z116" i="7" s="1"/>
  <c r="V116" i="7"/>
  <c r="S275" i="7" l="1"/>
  <c r="V275" i="7"/>
  <c r="V274" i="7"/>
  <c r="M274" i="7"/>
  <c r="S274" i="7"/>
  <c r="Z274" i="7" s="1"/>
  <c r="U280" i="7"/>
  <c r="O280" i="7" s="1"/>
  <c r="S117" i="7"/>
  <c r="Z117" i="7" s="1"/>
  <c r="V117" i="7"/>
  <c r="Z275" i="7" l="1"/>
  <c r="U275" i="7"/>
  <c r="O275" i="7" s="1"/>
  <c r="S276" i="7"/>
  <c r="V276" i="7"/>
  <c r="M276" i="7"/>
  <c r="U281" i="7"/>
  <c r="O281" i="7" s="1"/>
  <c r="S118" i="7"/>
  <c r="Z118" i="7" s="1"/>
  <c r="V118" i="7"/>
  <c r="M277" i="7" l="1"/>
  <c r="S277" i="7"/>
  <c r="Z277" i="7" s="1"/>
  <c r="Z276" i="7"/>
  <c r="U276" i="7"/>
  <c r="O276" i="7" s="1"/>
  <c r="V119" i="7"/>
  <c r="X119" i="7" s="1"/>
  <c r="P119" i="7" s="1"/>
  <c r="S119" i="7"/>
  <c r="M278" i="7" l="1"/>
  <c r="Z119" i="7"/>
  <c r="U119" i="7"/>
  <c r="O119" i="7" s="1"/>
  <c r="V120" i="7"/>
  <c r="S120" i="7"/>
  <c r="Z120" i="7" s="1"/>
  <c r="M279" i="7" l="1"/>
  <c r="V279" i="7"/>
  <c r="X279" i="7" s="1"/>
  <c r="P279" i="7" s="1"/>
  <c r="S279" i="7"/>
  <c r="Z279" i="7" s="1"/>
  <c r="S121" i="7"/>
  <c r="Z121" i="7" s="1"/>
  <c r="V121" i="7"/>
  <c r="M280" i="7" l="1"/>
  <c r="V280" i="7"/>
  <c r="M282" i="7"/>
  <c r="S280" i="7"/>
  <c r="Z280" i="7" s="1"/>
  <c r="S122" i="7"/>
  <c r="Z122" i="7" s="1"/>
  <c r="V122" i="7"/>
  <c r="S283" i="7" l="1"/>
  <c r="S282" i="7"/>
  <c r="V282" i="7"/>
  <c r="V281" i="7"/>
  <c r="M281" i="7"/>
  <c r="S281" i="7"/>
  <c r="Z281" i="7" s="1"/>
  <c r="AB281" i="7" s="1"/>
  <c r="Q281" i="7" s="1"/>
  <c r="V123" i="7"/>
  <c r="S123" i="7"/>
  <c r="Z123" i="7" s="1"/>
  <c r="Z282" i="7" l="1"/>
  <c r="U282" i="7"/>
  <c r="O282" i="7" s="1"/>
  <c r="V283" i="7"/>
  <c r="Z283" i="7"/>
  <c r="S284" i="7"/>
  <c r="M283" i="7"/>
  <c r="V124" i="7"/>
  <c r="S124" i="7"/>
  <c r="Z124" i="7" s="1"/>
  <c r="M284" i="7" l="1"/>
  <c r="Z284" i="7"/>
  <c r="S285" i="7"/>
  <c r="V125" i="7"/>
  <c r="S125" i="7"/>
  <c r="Z125" i="7" s="1"/>
  <c r="S286" i="7" l="1"/>
  <c r="M285" i="7"/>
  <c r="V126" i="7"/>
  <c r="S126" i="7"/>
  <c r="Z126" i="7" s="1"/>
  <c r="M286" i="7" l="1"/>
  <c r="V127" i="7"/>
  <c r="S127" i="7"/>
  <c r="Z127" i="7" s="1"/>
  <c r="M287" i="7" l="1"/>
  <c r="S128" i="7"/>
  <c r="Z128" i="7" s="1"/>
  <c r="V128" i="7"/>
  <c r="M288" i="7" l="1"/>
  <c r="S129" i="7"/>
  <c r="Z129" i="7" s="1"/>
  <c r="V129" i="7"/>
  <c r="M289" i="7" l="1"/>
  <c r="S130" i="7"/>
  <c r="Z130" i="7" s="1"/>
  <c r="V130" i="7"/>
  <c r="M290" i="7" l="1"/>
  <c r="V131" i="7"/>
  <c r="S131" i="7"/>
  <c r="Z131" i="7" s="1"/>
  <c r="M291" i="7" l="1"/>
  <c r="S132" i="7"/>
  <c r="Z132" i="7" s="1"/>
  <c r="V132" i="7"/>
  <c r="M292" i="7" l="1"/>
  <c r="V133" i="7"/>
  <c r="S133" i="7"/>
  <c r="Z133" i="7" s="1"/>
  <c r="M293" i="7" l="1"/>
  <c r="V134" i="7"/>
  <c r="S134" i="7"/>
  <c r="Z134" i="7" s="1"/>
  <c r="M294" i="7" l="1"/>
  <c r="V135" i="7"/>
  <c r="S135" i="7"/>
  <c r="Z135" i="7" s="1"/>
  <c r="S295" i="7" l="1"/>
  <c r="Z295" i="7" s="1"/>
  <c r="V295" i="7"/>
  <c r="M295" i="7"/>
  <c r="V136" i="7"/>
  <c r="S136" i="7"/>
  <c r="Z136" i="7" s="1"/>
  <c r="M296" i="7" l="1"/>
  <c r="S137" i="7"/>
  <c r="Z137" i="7" s="1"/>
  <c r="V137" i="7"/>
  <c r="S297" i="7" l="1"/>
  <c r="Z297" i="7" s="1"/>
  <c r="V297" i="7"/>
  <c r="M297" i="7"/>
  <c r="V138" i="7"/>
  <c r="S138" i="7"/>
  <c r="Z138" i="7" s="1"/>
  <c r="S298" i="7" l="1"/>
  <c r="Z298" i="7" s="1"/>
  <c r="M298" i="7"/>
  <c r="V298" i="7"/>
  <c r="V139" i="7"/>
  <c r="S139" i="7"/>
  <c r="Z139" i="7" s="1"/>
  <c r="S140" i="7" l="1"/>
  <c r="Z140" i="7" s="1"/>
  <c r="V140" i="7"/>
  <c r="V141" i="7" l="1"/>
  <c r="S141" i="7"/>
  <c r="Z141" i="7" s="1"/>
  <c r="V142" i="7" l="1"/>
  <c r="S142" i="7"/>
  <c r="Z142" i="7" s="1"/>
  <c r="S143" i="7" l="1"/>
  <c r="Z143" i="7" s="1"/>
  <c r="V143" i="7"/>
  <c r="S146" i="7" l="1"/>
  <c r="V145" i="7"/>
  <c r="S145" i="7"/>
  <c r="Z145" i="7" s="1"/>
  <c r="V144" i="7"/>
  <c r="S144" i="7"/>
  <c r="Z144" i="7" s="1"/>
  <c r="Z146" i="7" l="1"/>
  <c r="V146" i="7"/>
  <c r="V147" i="7" l="1"/>
  <c r="S147" i="7"/>
  <c r="Z147" i="7" s="1"/>
  <c r="S148" i="7" l="1"/>
  <c r="Z148" i="7" s="1"/>
  <c r="V148" i="7"/>
  <c r="S149" i="7" l="1"/>
  <c r="Z149" i="7" s="1"/>
  <c r="V149" i="7"/>
  <c r="V150" i="7" l="1"/>
  <c r="X150" i="7" s="1"/>
  <c r="P150" i="7" s="1"/>
  <c r="S150" i="7"/>
  <c r="Z150" i="7" l="1"/>
  <c r="U150" i="7"/>
  <c r="O150" i="7" s="1"/>
  <c r="V151" i="7"/>
  <c r="S151" i="7"/>
  <c r="Z151" i="7" l="1"/>
  <c r="V153" i="7"/>
  <c r="S153" i="7"/>
  <c r="Z153" i="7" s="1"/>
  <c r="S154" i="7" l="1"/>
  <c r="Z154" i="7" s="1"/>
  <c r="V154" i="7"/>
  <c r="S155" i="7" l="1"/>
  <c r="Z155" i="7" s="1"/>
  <c r="V155" i="7"/>
  <c r="X247" i="7"/>
  <c r="P247" i="7" s="1"/>
  <c r="U247" i="7"/>
  <c r="O247" i="7" s="1"/>
  <c r="S156" i="7" l="1"/>
  <c r="Z156" i="7" s="1"/>
  <c r="V156" i="7"/>
  <c r="V157" i="7" l="1"/>
  <c r="S157" i="7"/>
  <c r="Z157" i="7" s="1"/>
  <c r="S158" i="7" l="1"/>
  <c r="Z158" i="7" s="1"/>
  <c r="V158" i="7"/>
  <c r="S161" i="7" l="1"/>
  <c r="Z161" i="7" s="1"/>
  <c r="S162" i="7" l="1"/>
  <c r="Z162" i="7" s="1"/>
  <c r="S163" i="7" l="1"/>
  <c r="Z163" i="7" s="1"/>
  <c r="S164" i="7" l="1"/>
  <c r="Z164" i="7" s="1"/>
  <c r="S165" i="7" l="1"/>
  <c r="Z165" i="7" s="1"/>
  <c r="U244" i="7"/>
  <c r="O244" i="7" s="1"/>
  <c r="S166" i="7" l="1"/>
  <c r="Z166" i="7" s="1"/>
  <c r="S169" i="7" l="1"/>
  <c r="Z169" i="7" s="1"/>
  <c r="V170" i="7" l="1"/>
  <c r="S170" i="7"/>
  <c r="Z170" i="7" s="1"/>
  <c r="V171" i="7" l="1"/>
  <c r="S171" i="7"/>
  <c r="Z171" i="7" s="1"/>
  <c r="V172" i="7" l="1"/>
  <c r="Z172" i="7"/>
  <c r="V181" i="7" l="1"/>
  <c r="Z181" i="7"/>
  <c r="V182" i="7" l="1"/>
  <c r="S182" i="7"/>
  <c r="Z182" i="7" s="1"/>
  <c r="AB182" i="7" s="1"/>
  <c r="Q182" i="7" s="1"/>
  <c r="S183" i="7" l="1"/>
  <c r="Z183" i="7" s="1"/>
  <c r="AB183" i="7" s="1"/>
  <c r="Q183" i="7" s="1"/>
  <c r="V183" i="7"/>
  <c r="Z185" i="7" l="1"/>
  <c r="V185" i="7"/>
  <c r="V186" i="7" l="1"/>
  <c r="S186" i="7"/>
  <c r="Z186" i="7" s="1"/>
  <c r="S187" i="7" l="1"/>
  <c r="Z187" i="7" s="1"/>
  <c r="V187" i="7"/>
  <c r="V189" i="7" l="1"/>
  <c r="S189" i="7"/>
  <c r="Z189" i="7" s="1"/>
  <c r="V192" i="7" l="1"/>
  <c r="S192" i="7"/>
  <c r="Z192" i="7" s="1"/>
  <c r="V193" i="7" l="1"/>
  <c r="S193" i="7"/>
  <c r="Z193" i="7" s="1"/>
  <c r="S194" i="7" l="1"/>
  <c r="Z194" i="7" s="1"/>
  <c r="V194" i="7"/>
  <c r="V195" i="7" l="1"/>
  <c r="S195" i="7"/>
  <c r="Z195" i="7" l="1"/>
  <c r="U195" i="7"/>
  <c r="O195" i="7" s="1"/>
  <c r="Z199" i="7" l="1"/>
  <c r="V199" i="7"/>
  <c r="Z200" i="7" l="1"/>
  <c r="V200" i="7"/>
  <c r="V201" i="7" l="1"/>
  <c r="S201" i="7"/>
  <c r="Z201" i="7" s="1"/>
  <c r="U242" i="7"/>
  <c r="O242" i="7" s="1"/>
  <c r="V202" i="7" l="1"/>
  <c r="S202" i="7"/>
  <c r="Z202" i="7" s="1"/>
  <c r="S203" i="7" l="1"/>
  <c r="Z203" i="7" s="1"/>
  <c r="V203" i="7"/>
  <c r="S204" i="7" l="1"/>
  <c r="Z204" i="7" s="1"/>
  <c r="AB204" i="7" s="1"/>
  <c r="Q204" i="7" s="1"/>
  <c r="V204" i="7"/>
  <c r="X204" i="7" s="1"/>
  <c r="P204" i="7" s="1"/>
  <c r="AB7" i="7" l="1"/>
  <c r="Q7" i="7" s="1"/>
  <c r="X7" i="7"/>
  <c r="P7" i="7" s="1"/>
  <c r="V206" i="7"/>
  <c r="S206" i="7"/>
  <c r="Z206" i="7" s="1"/>
  <c r="AB206" i="7" s="1"/>
  <c r="Q206" i="7" s="1"/>
  <c r="V208" i="7" l="1"/>
  <c r="Z208" i="7"/>
  <c r="V211" i="7" l="1"/>
  <c r="S211" i="7"/>
  <c r="Z211" i="7" s="1"/>
  <c r="V212" i="7" l="1"/>
  <c r="S212" i="7"/>
  <c r="Z212" i="7" s="1"/>
  <c r="S213" i="7" l="1"/>
  <c r="Z213" i="7" s="1"/>
  <c r="V213" i="7"/>
  <c r="V214" i="7" l="1"/>
  <c r="S214" i="7"/>
  <c r="Z214" i="7" s="1"/>
  <c r="S215" i="7" l="1"/>
  <c r="Z215" i="7" s="1"/>
  <c r="V215" i="7"/>
  <c r="S222" i="7" l="1"/>
  <c r="Z222" i="7" s="1"/>
  <c r="V222" i="7"/>
  <c r="S223" i="7" l="1"/>
  <c r="Z223" i="7" s="1"/>
  <c r="V223" i="7"/>
  <c r="V232" i="7" l="1"/>
  <c r="S232" i="7"/>
  <c r="Z232" i="7" s="1"/>
  <c r="S233" i="7" l="1"/>
  <c r="Z233" i="7" s="1"/>
  <c r="V233" i="7"/>
  <c r="V235" i="7" l="1"/>
  <c r="S235" i="7"/>
  <c r="Z235" i="7" s="1"/>
  <c r="Z239" i="7" l="1"/>
  <c r="D5" i="12"/>
  <c r="D28" i="12" s="1"/>
  <c r="S240" i="7" l="1"/>
  <c r="Z240" i="7" s="1"/>
  <c r="V240" i="7"/>
  <c r="O22" i="3"/>
  <c r="X197" i="7" s="1"/>
  <c r="P197" i="7" s="1"/>
  <c r="X191" i="7" l="1"/>
  <c r="P191" i="7" s="1"/>
  <c r="X190" i="7"/>
  <c r="P190" i="7" s="1"/>
  <c r="X188" i="7"/>
  <c r="P188" i="7" s="1"/>
  <c r="X246" i="7"/>
  <c r="P246" i="7" s="1"/>
  <c r="X196" i="7"/>
  <c r="P196" i="7" s="1"/>
  <c r="X184" i="7"/>
  <c r="P184" i="7" s="1"/>
  <c r="X243" i="7"/>
  <c r="P243" i="7" s="1"/>
  <c r="S242" i="7"/>
  <c r="Z242" i="7" s="1"/>
  <c r="V242" i="7"/>
  <c r="X189" i="7"/>
  <c r="P189" i="7" s="1"/>
  <c r="X186" i="7"/>
  <c r="P186" i="7" s="1"/>
  <c r="X185" i="7"/>
  <c r="P185" i="7" s="1"/>
  <c r="D27" i="12"/>
  <c r="D29" i="12" s="1"/>
  <c r="X194" i="7" s="1"/>
  <c r="P194" i="7" s="1"/>
  <c r="X187" i="7"/>
  <c r="P187" i="7" s="1"/>
  <c r="U22" i="3"/>
  <c r="X239" i="7" s="1"/>
  <c r="P239" i="7" s="1"/>
  <c r="X183" i="7"/>
  <c r="P183" i="7" s="1"/>
  <c r="X244" i="7"/>
  <c r="P244" i="7" s="1"/>
  <c r="X242" i="7"/>
  <c r="P242" i="7" s="1"/>
  <c r="X245" i="7"/>
  <c r="P245" i="7" s="1"/>
  <c r="X195" i="7"/>
  <c r="P195" i="7" s="1"/>
  <c r="AB4" i="8"/>
  <c r="B72" i="12" l="1"/>
  <c r="B73" i="12" s="1"/>
  <c r="S244" i="7"/>
  <c r="Z244" i="7" s="1"/>
  <c r="AB244" i="7" s="1"/>
  <c r="Q244" i="7" s="1"/>
  <c r="V244" i="7"/>
  <c r="U207" i="7" l="1"/>
  <c r="O207" i="7" s="1"/>
  <c r="U208" i="7"/>
  <c r="O208" i="7" s="1"/>
  <c r="U204" i="7"/>
  <c r="O204" i="7" s="1"/>
  <c r="U206" i="7"/>
  <c r="O206" i="7" s="1"/>
  <c r="U209" i="7"/>
  <c r="O209" i="7" s="1"/>
  <c r="R7" i="3"/>
  <c r="S245" i="7"/>
  <c r="Z245" i="7" s="1"/>
  <c r="V245" i="7"/>
  <c r="U199" i="7"/>
  <c r="O199" i="7" s="1"/>
  <c r="U203" i="7"/>
  <c r="O203" i="7" s="1"/>
  <c r="U211" i="7"/>
  <c r="O211" i="7" s="1"/>
  <c r="U201" i="7"/>
  <c r="O201" i="7" s="1"/>
  <c r="U213" i="7"/>
  <c r="O213" i="7" s="1"/>
  <c r="U202" i="7"/>
  <c r="O202" i="7" s="1"/>
  <c r="U214" i="7"/>
  <c r="O214" i="7" s="1"/>
  <c r="O265" i="7"/>
  <c r="J7" i="3"/>
  <c r="AH3" i="8" s="1"/>
  <c r="AC3" i="8"/>
  <c r="V8" i="3" l="1"/>
  <c r="U220" i="7" s="1"/>
  <c r="V247" i="7"/>
  <c r="S247" i="7"/>
  <c r="Z247" i="7" s="1"/>
  <c r="U219" i="7" l="1"/>
  <c r="O219" i="7" s="1"/>
  <c r="U218" i="7"/>
  <c r="O218" i="7" s="1"/>
  <c r="U215" i="7"/>
  <c r="O215" i="7" s="1"/>
  <c r="U217" i="7"/>
  <c r="O217" i="7" s="1"/>
  <c r="U216" i="7"/>
  <c r="O216" i="7" s="1"/>
  <c r="S248" i="7"/>
  <c r="V248" i="7"/>
  <c r="X248" i="7" s="1"/>
  <c r="P248" i="7" s="1"/>
  <c r="Z248" i="7" l="1"/>
  <c r="U248" i="7"/>
  <c r="O248" i="7" s="1"/>
  <c r="S249" i="7"/>
  <c r="V249" i="7"/>
  <c r="X249" i="7" s="1"/>
  <c r="P249" i="7" s="1"/>
  <c r="Z249" i="7" l="1"/>
  <c r="AB249" i="7" s="1"/>
  <c r="Q249" i="7" s="1"/>
  <c r="U249" i="7"/>
  <c r="O249" i="7" s="1"/>
  <c r="S250" i="7"/>
  <c r="U250" i="7" s="1"/>
  <c r="O250" i="7" s="1"/>
  <c r="V250" i="7"/>
  <c r="X250" i="7" s="1"/>
  <c r="P250" i="7" s="1"/>
  <c r="S251" i="7" l="1"/>
  <c r="Z251" i="7" s="1"/>
  <c r="V251" i="7"/>
  <c r="X251" i="7" s="1"/>
  <c r="P251" i="7" s="1"/>
  <c r="Z250" i="7"/>
  <c r="AB250" i="7" s="1"/>
  <c r="Q250" i="7" s="1"/>
  <c r="S252" i="7" l="1"/>
  <c r="V252" i="7"/>
  <c r="Z252" i="7" l="1"/>
  <c r="U252" i="7"/>
  <c r="O252" i="7" s="1"/>
  <c r="V253" i="7" l="1"/>
  <c r="S253" i="7"/>
  <c r="Z253" i="7" s="1"/>
  <c r="S255" i="7" l="1"/>
  <c r="Z255" i="7" s="1"/>
  <c r="AB255" i="7" s="1"/>
  <c r="AB207" i="7" s="1"/>
  <c r="V255" i="7"/>
  <c r="B4" i="12"/>
  <c r="B5" i="12" s="1"/>
  <c r="O6" i="3" l="1"/>
  <c r="Q255" i="7"/>
  <c r="Q207" i="7"/>
  <c r="S256" i="7"/>
  <c r="Z256" i="7" s="1"/>
  <c r="V256" i="7"/>
  <c r="B28" i="12"/>
  <c r="U190" i="7" l="1"/>
  <c r="O190" i="7" s="1"/>
  <c r="U191" i="7"/>
  <c r="O191" i="7" s="1"/>
  <c r="U184" i="7"/>
  <c r="O184" i="7" s="1"/>
  <c r="U188" i="7"/>
  <c r="O188" i="7" s="1"/>
  <c r="B27" i="12"/>
  <c r="B29" i="12" s="1"/>
  <c r="U194" i="7" s="1"/>
  <c r="O194" i="7" s="1"/>
  <c r="AB3" i="8"/>
  <c r="U6" i="3"/>
  <c r="U239" i="7" s="1"/>
  <c r="O239" i="7" s="1"/>
  <c r="U183" i="7"/>
  <c r="O183" i="7" s="1"/>
  <c r="U187" i="7"/>
  <c r="O187" i="7" s="1"/>
  <c r="U186" i="7"/>
  <c r="O186" i="7" s="1"/>
  <c r="U185" i="7"/>
  <c r="O185" i="7" s="1"/>
  <c r="U189" i="7"/>
  <c r="O189" i="7" s="1"/>
  <c r="Z265" i="7"/>
  <c r="V265" i="7"/>
  <c r="C28" i="12" l="1"/>
  <c r="U7" i="7"/>
  <c r="O7" i="7" s="1"/>
  <c r="S267" i="7"/>
  <c r="Z267" i="7" s="1"/>
  <c r="V267" i="7"/>
  <c r="S268" i="7" l="1"/>
  <c r="Z268" i="7" s="1"/>
  <c r="V268" i="7"/>
  <c r="S269" i="7" l="1"/>
  <c r="Z269" i="7" s="1"/>
  <c r="V269" i="7"/>
  <c r="V270" i="7" l="1"/>
  <c r="S270" i="7"/>
  <c r="Z270" i="7" l="1"/>
  <c r="O270" i="7"/>
  <c r="S271" i="7"/>
  <c r="V271" i="7"/>
  <c r="X271" i="7" s="1"/>
  <c r="P271" i="7" s="1"/>
  <c r="Z271" i="7" l="1"/>
  <c r="AB271" i="7" s="1"/>
  <c r="Q271" i="7" s="1"/>
  <c r="X276" i="7" l="1"/>
  <c r="P276" i="7" s="1"/>
  <c r="AB276" i="7" l="1"/>
  <c r="Q276" i="7" s="1"/>
  <c r="V277" i="7"/>
  <c r="S278" i="7" l="1"/>
  <c r="V278" i="7"/>
  <c r="Z278" i="7" l="1"/>
  <c r="V284" i="7"/>
  <c r="AA17" i="3"/>
  <c r="V285" i="7" l="1"/>
  <c r="AA33" i="3"/>
  <c r="Z285" i="7" l="1"/>
  <c r="V286" i="7"/>
  <c r="AA1" i="3"/>
  <c r="Z286" i="7" l="1"/>
  <c r="V287" i="7"/>
  <c r="S287" i="7"/>
  <c r="Z287" i="7" s="1"/>
  <c r="S288" i="7" l="1"/>
  <c r="Z288" i="7" s="1"/>
  <c r="V288" i="7"/>
  <c r="V289" i="7" l="1"/>
  <c r="S289" i="7"/>
  <c r="Z289" i="7" s="1"/>
  <c r="V290" i="7" l="1"/>
  <c r="S290" i="7"/>
  <c r="Z290" i="7" s="1"/>
  <c r="S291" i="7" l="1"/>
  <c r="Z291" i="7" s="1"/>
  <c r="V291" i="7"/>
  <c r="S292" i="7" l="1"/>
  <c r="Z292" i="7" s="1"/>
  <c r="V292" i="7"/>
  <c r="V293" i="7" l="1"/>
  <c r="S293" i="7"/>
  <c r="Z293" i="7" s="1"/>
  <c r="V296" i="7" l="1"/>
  <c r="S296" i="7"/>
  <c r="Z296" i="7" s="1"/>
  <c r="S294" i="7"/>
  <c r="Z294" i="7" s="1"/>
  <c r="V294" i="7"/>
  <c r="V73" i="5" l="1"/>
  <c r="V74" i="5" s="1"/>
  <c r="X73" i="5"/>
  <c r="X74" i="5" s="1"/>
  <c r="T73" i="5" l="1"/>
  <c r="T74" i="5" s="1"/>
  <c r="Q38" i="7" l="1"/>
  <c r="F166" i="7" l="1"/>
  <c r="F126" i="7"/>
  <c r="H126" i="7" s="1"/>
  <c r="J126" i="7" s="1"/>
  <c r="F101" i="7"/>
  <c r="F100" i="7"/>
  <c r="F108" i="7" s="1"/>
  <c r="H115" i="7"/>
  <c r="H121" i="7" s="1"/>
  <c r="F45" i="7"/>
  <c r="H265" i="7"/>
  <c r="F115" i="7"/>
  <c r="F121" i="7" s="1"/>
  <c r="F30" i="7"/>
  <c r="G30" i="7" s="1"/>
  <c r="H30" i="7" s="1"/>
  <c r="I30" i="7" s="1"/>
  <c r="J30" i="7" s="1"/>
  <c r="H118" i="7"/>
  <c r="I118" i="7" s="1"/>
  <c r="G55" i="7"/>
  <c r="H55" i="7" s="1"/>
  <c r="H100" i="7"/>
  <c r="H108" i="7" s="1"/>
  <c r="F39" i="7"/>
  <c r="G39" i="7" s="1"/>
  <c r="F215" i="7"/>
  <c r="G215" i="7" s="1"/>
  <c r="H215" i="7" s="1"/>
  <c r="I215" i="7" s="1"/>
  <c r="J215" i="7" s="1"/>
  <c r="F199" i="7"/>
  <c r="H77" i="7"/>
  <c r="F118" i="7"/>
  <c r="F124" i="7" s="1"/>
  <c r="F235" i="7"/>
  <c r="G235" i="7" s="1"/>
  <c r="H235" i="7" s="1"/>
  <c r="I235" i="7" s="1"/>
  <c r="K96" i="7"/>
  <c r="F151" i="7"/>
  <c r="F125" i="7"/>
  <c r="H125" i="7" s="1"/>
  <c r="I125" i="7" s="1"/>
  <c r="J125" i="7" s="1"/>
  <c r="K125" i="7" s="1"/>
  <c r="H101" i="7"/>
  <c r="I101" i="7" s="1"/>
  <c r="F112" i="7"/>
  <c r="H112" i="7" s="1"/>
  <c r="F153" i="7"/>
  <c r="F42" i="7"/>
  <c r="F26" i="7" s="1"/>
  <c r="F43" i="7"/>
  <c r="G43" i="7" s="1"/>
  <c r="H43" i="7" s="1"/>
  <c r="I43" i="7" s="1"/>
  <c r="J43" i="7" s="1"/>
  <c r="F46" i="7"/>
  <c r="F37" i="7"/>
  <c r="G37" i="7" s="1"/>
  <c r="H37" i="7" s="1"/>
  <c r="I37" i="7" s="1"/>
  <c r="J37" i="7" s="1"/>
  <c r="F27" i="7"/>
  <c r="F29" i="7" s="1"/>
  <c r="J235" i="7" l="1"/>
  <c r="U235" i="7"/>
  <c r="O235" i="7" s="1"/>
  <c r="G46" i="7"/>
  <c r="F48" i="7"/>
  <c r="G42" i="7"/>
  <c r="H42" i="7" s="1"/>
  <c r="I42" i="7" s="1"/>
  <c r="J42" i="7" s="1"/>
  <c r="J26" i="7"/>
  <c r="H39" i="7"/>
  <c r="I39" i="7" s="1"/>
  <c r="J39" i="7" s="1"/>
  <c r="U39" i="7"/>
  <c r="O39" i="7" s="1"/>
  <c r="G151" i="7"/>
  <c r="F152" i="7"/>
  <c r="G199" i="7"/>
  <c r="H199" i="7" s="1"/>
  <c r="I199" i="7" s="1"/>
  <c r="J199" i="7" s="1"/>
  <c r="AB200" i="7" s="1"/>
  <c r="Q200" i="7" s="1"/>
  <c r="U200" i="7"/>
  <c r="O200" i="7" s="1"/>
  <c r="H79" i="7"/>
  <c r="H83" i="7"/>
  <c r="H87" i="7"/>
  <c r="H80" i="7"/>
  <c r="H84" i="7"/>
  <c r="H81" i="7"/>
  <c r="H85" i="7"/>
  <c r="H180" i="7" s="1"/>
  <c r="X182" i="7" s="1"/>
  <c r="P182" i="7" s="1"/>
  <c r="H82" i="7"/>
  <c r="H86" i="7"/>
  <c r="H78" i="7"/>
  <c r="F50" i="7"/>
  <c r="G45" i="7"/>
  <c r="H45" i="7" s="1"/>
  <c r="I45" i="7" s="1"/>
  <c r="J115" i="7"/>
  <c r="J121" i="7" s="1"/>
  <c r="F28" i="7"/>
  <c r="G27" i="7"/>
  <c r="G29" i="7" s="1"/>
  <c r="I100" i="7"/>
  <c r="J118" i="7"/>
  <c r="AB119" i="7" s="1"/>
  <c r="Q119" i="7" s="1"/>
  <c r="I124" i="7"/>
  <c r="H113" i="7"/>
  <c r="I112" i="7"/>
  <c r="I109" i="7"/>
  <c r="J101" i="7"/>
  <c r="U101" i="7" s="1"/>
  <c r="O101" i="7" s="1"/>
  <c r="G166" i="7"/>
  <c r="G153" i="7"/>
  <c r="H124" i="7"/>
  <c r="I115" i="7"/>
  <c r="I121" i="7" s="1"/>
  <c r="I126" i="7"/>
  <c r="K126" i="7" s="1"/>
  <c r="F109" i="7"/>
  <c r="H109" i="7"/>
  <c r="F113" i="7"/>
  <c r="X200" i="7" l="1"/>
  <c r="P200" i="7" s="1"/>
  <c r="H46" i="7"/>
  <c r="H50" i="7" s="1"/>
  <c r="G48" i="7"/>
  <c r="H151" i="7"/>
  <c r="U151" i="7" s="1"/>
  <c r="O151" i="7" s="1"/>
  <c r="G152" i="7"/>
  <c r="H27" i="7"/>
  <c r="I27" i="7" s="1"/>
  <c r="G50" i="7"/>
  <c r="G28" i="7"/>
  <c r="K115" i="7"/>
  <c r="K121" i="7" s="1"/>
  <c r="I108" i="7"/>
  <c r="J100" i="7"/>
  <c r="U100" i="7" s="1"/>
  <c r="O100" i="7" s="1"/>
  <c r="K118" i="7"/>
  <c r="K124" i="7" s="1"/>
  <c r="J124" i="7"/>
  <c r="H166" i="7"/>
  <c r="I113" i="7"/>
  <c r="J112" i="7"/>
  <c r="J45" i="7"/>
  <c r="H153" i="7"/>
  <c r="J109" i="7"/>
  <c r="K101" i="7"/>
  <c r="I46" i="7" l="1"/>
  <c r="H48" i="7"/>
  <c r="I151" i="7"/>
  <c r="H152" i="7"/>
  <c r="H28" i="7"/>
  <c r="H29" i="7"/>
  <c r="J108" i="7"/>
  <c r="K100" i="7"/>
  <c r="K108" i="7" s="1"/>
  <c r="I166" i="7"/>
  <c r="K112" i="7"/>
  <c r="J113" i="7"/>
  <c r="K109" i="7"/>
  <c r="I153" i="7"/>
  <c r="J27" i="7"/>
  <c r="I29" i="7"/>
  <c r="I28" i="7"/>
  <c r="J46" i="7" l="1"/>
  <c r="I48" i="7"/>
  <c r="I50" i="7"/>
  <c r="K113" i="7"/>
  <c r="X113" i="7"/>
  <c r="P113" i="7" s="1"/>
  <c r="J151" i="7"/>
  <c r="I152" i="7"/>
  <c r="J28" i="7"/>
  <c r="J29" i="7"/>
  <c r="J153" i="7"/>
  <c r="K166" i="7"/>
  <c r="J166" i="7"/>
  <c r="J48" i="7" l="1"/>
  <c r="J50" i="7"/>
  <c r="K151" i="7"/>
  <c r="K152" i="7" s="1"/>
  <c r="J152" i="7"/>
  <c r="K153" i="7"/>
  <c r="U286" i="7" l="1"/>
  <c r="O286" i="7" s="1"/>
  <c r="U284" i="7" l="1"/>
  <c r="O284" i="7" s="1"/>
  <c r="U295" i="7" l="1"/>
  <c r="O295" i="7" s="1"/>
  <c r="T76" i="5" l="1"/>
  <c r="T78" i="5" s="1"/>
  <c r="U76" i="7" s="1"/>
  <c r="O76" i="7" s="1"/>
  <c r="V76" i="5"/>
  <c r="V78" i="5" s="1"/>
  <c r="X76" i="7" s="1"/>
  <c r="P76" i="7" s="1"/>
  <c r="X76" i="5"/>
  <c r="X78" i="5" s="1"/>
  <c r="AB76" i="7" s="1"/>
  <c r="Q76" i="7" s="1"/>
  <c r="Q257" i="7" l="1"/>
  <c r="Y38" i="3" l="1"/>
  <c r="Y22" i="3"/>
  <c r="P169" i="7" l="1"/>
  <c r="Q169" i="7" l="1"/>
  <c r="P34" i="7" l="1"/>
  <c r="O34" i="7"/>
  <c r="Q34" i="7" l="1"/>
  <c r="O41" i="7" l="1"/>
  <c r="AB33" i="7" l="1"/>
  <c r="Q33" i="7" l="1"/>
  <c r="AB160" i="7" l="1"/>
  <c r="Q160" i="7" s="1"/>
  <c r="AB159" i="7"/>
  <c r="Q159" i="7" s="1"/>
  <c r="AB162" i="7"/>
  <c r="Q162" i="7" s="1"/>
  <c r="AB164" i="7"/>
  <c r="Q164" i="7" s="1"/>
  <c r="AB165" i="7"/>
  <c r="Q165" i="7" s="1"/>
  <c r="AB163" i="7"/>
  <c r="Q163" i="7" s="1"/>
  <c r="X160" i="7"/>
  <c r="P160" i="7" s="1"/>
  <c r="X163" i="7"/>
  <c r="P163" i="7" s="1"/>
  <c r="X162" i="7"/>
  <c r="P162" i="7" s="1"/>
  <c r="X165" i="7"/>
  <c r="P165" i="7" s="1"/>
  <c r="X159" i="7"/>
  <c r="P159" i="7" s="1"/>
  <c r="X164" i="7"/>
  <c r="P164" i="7" s="1"/>
  <c r="O128" i="7" l="1"/>
  <c r="Q47" i="7" l="1"/>
  <c r="Q48" i="7"/>
  <c r="P48" i="7" l="1"/>
  <c r="O48" i="7"/>
  <c r="P47" i="7" l="1"/>
  <c r="O47" i="7" l="1"/>
  <c r="X33" i="7" l="1"/>
  <c r="P33" i="7" s="1"/>
  <c r="P4" i="11" l="1"/>
  <c r="Q4" i="11" s="1"/>
  <c r="F6" i="11" l="1"/>
  <c r="L6" i="11" l="1"/>
  <c r="AB97" i="7" s="1"/>
  <c r="Q97" i="7" s="1"/>
  <c r="G2" i="17"/>
  <c r="C2" i="17"/>
  <c r="J6" i="11" s="1"/>
  <c r="U97" i="7" l="1"/>
  <c r="U96" i="7" l="1"/>
  <c r="O96" i="7" s="1"/>
  <c r="O97" i="7"/>
  <c r="N10" i="17" l="1"/>
  <c r="E3" i="17" s="1"/>
  <c r="O10" i="16"/>
  <c r="F3" i="16" s="1"/>
  <c r="I10" i="17"/>
  <c r="D3" i="17" l="1"/>
  <c r="K9" i="17"/>
  <c r="U159" i="7" l="1"/>
  <c r="O159" i="7" s="1"/>
  <c r="U160" i="7"/>
  <c r="O160" i="7" s="1"/>
  <c r="U165" i="7"/>
  <c r="O165" i="7" s="1"/>
  <c r="U163" i="7"/>
  <c r="O163" i="7" s="1"/>
  <c r="U164" i="7"/>
  <c r="O164" i="7" s="1"/>
  <c r="U162" i="7"/>
  <c r="O162" i="7" s="1"/>
  <c r="X171" i="7" l="1"/>
  <c r="P171" i="7" s="1"/>
  <c r="AB171" i="7"/>
  <c r="Q171" i="7" s="1"/>
  <c r="Q161" i="7"/>
  <c r="AB166" i="7"/>
  <c r="Q166" i="7" s="1"/>
  <c r="P161" i="7"/>
  <c r="X166" i="7"/>
  <c r="P166" i="7" s="1"/>
  <c r="O161" i="7"/>
  <c r="U166" i="7"/>
  <c r="O166" i="7" s="1"/>
  <c r="U171" i="7" l="1"/>
  <c r="O171" i="7" s="1"/>
  <c r="U169" i="7" l="1"/>
  <c r="O169" i="7" s="1"/>
  <c r="Y6" i="3" l="1"/>
  <c r="O238" i="7" l="1"/>
  <c r="Q220" i="7" l="1"/>
  <c r="P218" i="7"/>
  <c r="P217" i="7"/>
  <c r="P220" i="7"/>
  <c r="O30" i="10" l="1"/>
  <c r="O59" i="10"/>
  <c r="O58" i="10" l="1"/>
  <c r="AB167" i="7" l="1"/>
  <c r="Q167" i="7" s="1"/>
  <c r="AB168" i="7"/>
  <c r="Q168" i="7" s="1"/>
  <c r="N58" i="10" l="1"/>
  <c r="X167" i="7" l="1"/>
  <c r="P167" i="7" s="1"/>
  <c r="X168" i="7"/>
  <c r="P168" i="7" s="1"/>
  <c r="N29" i="10" l="1"/>
  <c r="O29" i="10" l="1"/>
  <c r="E10" i="16" l="1"/>
  <c r="D3" i="16" s="1"/>
  <c r="U33" i="7" l="1"/>
  <c r="O33" i="7" s="1"/>
  <c r="O220" i="7" l="1"/>
  <c r="S33" i="3" l="1"/>
  <c r="S17" i="3"/>
  <c r="S1" i="3"/>
  <c r="W2" i="3" l="1"/>
  <c r="O13" i="3"/>
  <c r="B13" i="3"/>
  <c r="F13" i="3"/>
  <c r="H8" i="3"/>
  <c r="K15" i="3"/>
  <c r="R2" i="3"/>
  <c r="O2" i="10" s="1"/>
  <c r="U15" i="3"/>
  <c r="B11" i="10"/>
  <c r="O10" i="3"/>
  <c r="R10" i="3" s="1"/>
  <c r="R9" i="3"/>
  <c r="C5" i="3"/>
  <c r="E7" i="10"/>
  <c r="B9" i="10"/>
  <c r="R6" i="3"/>
  <c r="F6" i="3"/>
  <c r="E5" i="10"/>
  <c r="P15" i="3"/>
  <c r="AA3" i="3"/>
  <c r="R8" i="3"/>
  <c r="AN3" i="8" s="1"/>
  <c r="G1" i="3"/>
  <c r="C3" i="3" s="1"/>
  <c r="J13" i="3"/>
  <c r="O26" i="3"/>
  <c r="R18" i="3"/>
  <c r="R25" i="3"/>
  <c r="R22" i="3"/>
  <c r="O29" i="3"/>
  <c r="W18" i="3"/>
  <c r="S4" i="8" s="1"/>
  <c r="E37" i="10"/>
  <c r="P31" i="3"/>
  <c r="C21" i="3"/>
  <c r="AA19" i="3"/>
  <c r="K31" i="3"/>
  <c r="F29" i="3"/>
  <c r="U31" i="3"/>
  <c r="E39" i="10"/>
  <c r="H24" i="3"/>
  <c r="R24" i="3"/>
  <c r="AN4" i="8" s="1"/>
  <c r="G17" i="3"/>
  <c r="C19" i="3" s="1"/>
  <c r="F22" i="3"/>
  <c r="J29" i="3"/>
  <c r="B29" i="3"/>
  <c r="G34" i="3"/>
  <c r="O42" i="3"/>
  <c r="E65" i="10"/>
  <c r="E67" i="10"/>
  <c r="H40" i="3"/>
  <c r="F38" i="3"/>
  <c r="AB248" i="7" s="1"/>
  <c r="Q248" i="7" s="1"/>
  <c r="AA35" i="3"/>
  <c r="B45" i="3"/>
  <c r="P47" i="3"/>
  <c r="W34" i="3"/>
  <c r="S5" i="8" s="1"/>
  <c r="O45" i="3"/>
  <c r="C37" i="3"/>
  <c r="R40" i="3"/>
  <c r="AN5" i="8" s="1"/>
  <c r="R38" i="3"/>
  <c r="J45" i="3"/>
  <c r="R34" i="3"/>
  <c r="U47" i="3"/>
  <c r="F45" i="3"/>
  <c r="R41" i="3"/>
  <c r="G33" i="3"/>
  <c r="C35" i="3" s="1"/>
  <c r="K47" i="3"/>
  <c r="S3" i="8" l="1"/>
  <c r="O3" i="10"/>
  <c r="G2" i="3"/>
  <c r="G18" i="3"/>
  <c r="R26" i="3"/>
  <c r="X210" i="7"/>
  <c r="P210" i="7" s="1"/>
  <c r="R42" i="3"/>
  <c r="AB210" i="7"/>
  <c r="Q210" i="7" s="1"/>
  <c r="Z3" i="5"/>
  <c r="Z4" i="5" s="1"/>
  <c r="Q5" i="8"/>
  <c r="W40" i="3"/>
  <c r="AB22" i="7"/>
  <c r="Q22" i="7" s="1"/>
  <c r="I21" i="15"/>
  <c r="F43" i="3" s="1"/>
  <c r="CC5" i="8"/>
  <c r="D38" i="3"/>
  <c r="W3" i="5"/>
  <c r="W4" i="5" s="1"/>
  <c r="Q4" i="8"/>
  <c r="X22" i="7"/>
  <c r="P22" i="7" s="1"/>
  <c r="W24" i="3"/>
  <c r="G21" i="15"/>
  <c r="F27" i="3" s="1"/>
  <c r="O15" i="3"/>
  <c r="CA3" i="8"/>
  <c r="E21" i="15"/>
  <c r="F11" i="3" s="1"/>
  <c r="T3" i="5"/>
  <c r="T4" i="5" s="1"/>
  <c r="U26" i="7"/>
  <c r="O26" i="7" s="1"/>
  <c r="W8" i="3"/>
  <c r="Q3" i="8"/>
  <c r="U22" i="7"/>
  <c r="O22" i="7" s="1"/>
  <c r="AB51" i="7"/>
  <c r="Q51" i="7" s="1"/>
  <c r="M5" i="8"/>
  <c r="CC4" i="8"/>
  <c r="D22" i="3"/>
  <c r="AB42" i="7"/>
  <c r="Q42" i="7" s="1"/>
  <c r="BL5" i="8"/>
  <c r="AB240" i="7"/>
  <c r="Q240" i="7" s="1"/>
  <c r="AB241" i="7"/>
  <c r="Q241" i="7" s="1"/>
  <c r="AD5" i="8"/>
  <c r="BL4" i="8"/>
  <c r="X42" i="7"/>
  <c r="P42" i="7" s="1"/>
  <c r="O31" i="3"/>
  <c r="CA4" i="8"/>
  <c r="X240" i="7"/>
  <c r="P240" i="7" s="1"/>
  <c r="X241" i="7"/>
  <c r="P241" i="7" s="1"/>
  <c r="AD4" i="8"/>
  <c r="D6" i="3"/>
  <c r="CC3" i="8"/>
  <c r="O47" i="3"/>
  <c r="CA5" i="8"/>
  <c r="M4" i="8"/>
  <c r="X51" i="7"/>
  <c r="P51" i="7" s="1"/>
  <c r="U240" i="7"/>
  <c r="O240" i="7" s="1"/>
  <c r="AD3" i="8"/>
  <c r="U241" i="7"/>
  <c r="O241" i="7" s="1"/>
  <c r="U51" i="7"/>
  <c r="O51" i="7" s="1"/>
  <c r="M3" i="8"/>
  <c r="BL3" i="8"/>
  <c r="U42" i="7"/>
  <c r="O42" i="7" s="1"/>
  <c r="U230" i="7" l="1"/>
  <c r="O230" i="7" s="1"/>
  <c r="U221" i="7"/>
  <c r="O221" i="7" s="1"/>
  <c r="U225" i="7"/>
  <c r="O225" i="7" s="1"/>
  <c r="U227" i="7"/>
  <c r="O227" i="7" s="1"/>
  <c r="U223" i="7"/>
  <c r="O223" i="7" s="1"/>
  <c r="U224" i="7"/>
  <c r="O224" i="7" s="1"/>
  <c r="U231" i="7"/>
  <c r="O231" i="7" s="1"/>
  <c r="U229" i="7"/>
  <c r="O229" i="7" s="1"/>
  <c r="AO3" i="8"/>
  <c r="U228" i="7"/>
  <c r="O228" i="7" s="1"/>
  <c r="Z8" i="3"/>
  <c r="U222" i="7"/>
  <c r="O222" i="7" s="1"/>
  <c r="U226" i="7"/>
  <c r="O226" i="7" s="1"/>
  <c r="K13" i="11"/>
  <c r="X106" i="7" s="1"/>
  <c r="P106" i="7" s="1"/>
  <c r="F28" i="3"/>
  <c r="H27" i="3"/>
  <c r="AK17" i="3"/>
  <c r="F31" i="3" s="1"/>
  <c r="V21" i="5"/>
  <c r="AC20" i="3"/>
  <c r="A27" i="3"/>
  <c r="X149" i="7"/>
  <c r="P149" i="7" s="1"/>
  <c r="J27" i="3"/>
  <c r="U28" i="3"/>
  <c r="W73" i="5"/>
  <c r="W74" i="5" s="1"/>
  <c r="W77" i="5" s="1"/>
  <c r="W79" i="5" s="1"/>
  <c r="X94" i="7" s="1"/>
  <c r="P94" i="7" s="1"/>
  <c r="X212" i="7"/>
  <c r="P212" i="7" s="1"/>
  <c r="D28" i="3"/>
  <c r="AZ4" i="8"/>
  <c r="Y27" i="3"/>
  <c r="X90" i="7"/>
  <c r="P90" i="7" s="1"/>
  <c r="K9" i="16"/>
  <c r="AC19" i="3"/>
  <c r="F21" i="15"/>
  <c r="R27" i="3"/>
  <c r="X4" i="5"/>
  <c r="AB230" i="7"/>
  <c r="Q230" i="7" s="1"/>
  <c r="AB222" i="7"/>
  <c r="Q222" i="7" s="1"/>
  <c r="AB223" i="7"/>
  <c r="Q223" i="7" s="1"/>
  <c r="AB226" i="7"/>
  <c r="Q226" i="7" s="1"/>
  <c r="Z40" i="3"/>
  <c r="AB231" i="7"/>
  <c r="Q231" i="7" s="1"/>
  <c r="AB227" i="7"/>
  <c r="Q227" i="7" s="1"/>
  <c r="AB228" i="7"/>
  <c r="Q228" i="7" s="1"/>
  <c r="AB221" i="7"/>
  <c r="Q221" i="7" s="1"/>
  <c r="AB224" i="7"/>
  <c r="Q224" i="7" s="1"/>
  <c r="AB225" i="7"/>
  <c r="Q225" i="7" s="1"/>
  <c r="AO5" i="8"/>
  <c r="AB229" i="7"/>
  <c r="Q229" i="7" s="1"/>
  <c r="U4" i="5"/>
  <c r="X230" i="7"/>
  <c r="P230" i="7" s="1"/>
  <c r="X229" i="7"/>
  <c r="P229" i="7" s="1"/>
  <c r="X226" i="7"/>
  <c r="P226" i="7" s="1"/>
  <c r="X227" i="7"/>
  <c r="P227" i="7" s="1"/>
  <c r="X223" i="7"/>
  <c r="P223" i="7" s="1"/>
  <c r="AO4" i="8"/>
  <c r="X228" i="7"/>
  <c r="P228" i="7" s="1"/>
  <c r="X222" i="7"/>
  <c r="P222" i="7" s="1"/>
  <c r="X224" i="7"/>
  <c r="P224" i="7" s="1"/>
  <c r="X225" i="7"/>
  <c r="P225" i="7" s="1"/>
  <c r="Z24" i="3"/>
  <c r="X231" i="7"/>
  <c r="P231" i="7" s="1"/>
  <c r="X221" i="7"/>
  <c r="P221" i="7" s="1"/>
  <c r="AZ3" i="8"/>
  <c r="D12" i="3"/>
  <c r="H11" i="3"/>
  <c r="U12" i="3"/>
  <c r="G9" i="16"/>
  <c r="F12" i="3"/>
  <c r="U90" i="7"/>
  <c r="O90" i="7" s="1"/>
  <c r="U73" i="5"/>
  <c r="U74" i="5" s="1"/>
  <c r="U77" i="5" s="1"/>
  <c r="U79" i="5" s="1"/>
  <c r="U94" i="7" s="1"/>
  <c r="O94" i="7" s="1"/>
  <c r="D21" i="15"/>
  <c r="A11" i="3"/>
  <c r="AC3" i="3"/>
  <c r="AC4" i="3" s="1"/>
  <c r="AK1" i="3"/>
  <c r="F15" i="3" s="1"/>
  <c r="F13" i="11"/>
  <c r="U106" i="7" s="1"/>
  <c r="O106" i="7" s="1"/>
  <c r="F9" i="17"/>
  <c r="D10" i="17" s="1"/>
  <c r="C3" i="17" s="1"/>
  <c r="J11" i="3"/>
  <c r="U212" i="7"/>
  <c r="O212" i="7" s="1"/>
  <c r="U149" i="7"/>
  <c r="O149" i="7" s="1"/>
  <c r="Y11" i="3"/>
  <c r="S21" i="5"/>
  <c r="R11" i="3"/>
  <c r="AK33" i="3"/>
  <c r="F47" i="3" s="1"/>
  <c r="AZ5" i="8"/>
  <c r="H21" i="15"/>
  <c r="Y43" i="3"/>
  <c r="AB149" i="7"/>
  <c r="Q149" i="7" s="1"/>
  <c r="Y21" i="5"/>
  <c r="J43" i="3"/>
  <c r="U44" i="3"/>
  <c r="AC35" i="3"/>
  <c r="D44" i="3"/>
  <c r="AB90" i="7"/>
  <c r="Q90" i="7" s="1"/>
  <c r="H43" i="3"/>
  <c r="AB82" i="7" s="1"/>
  <c r="Q82" i="7" s="1"/>
  <c r="P13" i="11"/>
  <c r="AB106" i="7" s="1"/>
  <c r="Q106" i="7" s="1"/>
  <c r="Y73" i="5"/>
  <c r="Y74" i="5" s="1"/>
  <c r="Y77" i="5" s="1"/>
  <c r="Y79" i="5" s="1"/>
  <c r="AB94" i="7" s="1"/>
  <c r="Q94" i="7" s="1"/>
  <c r="AB212" i="7"/>
  <c r="Q212" i="7" s="1"/>
  <c r="A43" i="3"/>
  <c r="AC36" i="3"/>
  <c r="F44" i="3"/>
  <c r="R43" i="3"/>
  <c r="AA4" i="5"/>
  <c r="O43" i="3" l="1"/>
  <c r="O44" i="3" s="1"/>
  <c r="R44" i="3" s="1"/>
  <c r="BD5" i="8"/>
  <c r="AB298" i="7" s="1"/>
  <c r="Q298" i="7" s="1"/>
  <c r="Z22" i="5"/>
  <c r="Y22" i="5" s="1"/>
  <c r="Y23" i="5" s="1"/>
  <c r="Y24" i="5" s="1"/>
  <c r="Z24" i="5" s="1"/>
  <c r="Y26" i="5" s="1"/>
  <c r="D23" i="15"/>
  <c r="E22" i="15"/>
  <c r="D26" i="15" s="1"/>
  <c r="AB77" i="7"/>
  <c r="Q77" i="7" s="1"/>
  <c r="CB4" i="8"/>
  <c r="CE4" i="8"/>
  <c r="E31" i="3"/>
  <c r="E47" i="3"/>
  <c r="CE5" i="8"/>
  <c r="CB5" i="8"/>
  <c r="E15" i="3"/>
  <c r="CE3" i="8"/>
  <c r="CB3" i="8"/>
  <c r="U157" i="7"/>
  <c r="O157" i="7" s="1"/>
  <c r="U153" i="7"/>
  <c r="O153" i="7" s="1"/>
  <c r="U156" i="7"/>
  <c r="O156" i="7" s="1"/>
  <c r="U155" i="7"/>
  <c r="O155" i="7" s="1"/>
  <c r="U154" i="7"/>
  <c r="O154" i="7" s="1"/>
  <c r="U158" i="7"/>
  <c r="O158" i="7" s="1"/>
  <c r="BJ3" i="8"/>
  <c r="AB80" i="7"/>
  <c r="Q80" i="7" s="1"/>
  <c r="F23" i="15"/>
  <c r="G22" i="15"/>
  <c r="F26" i="15" s="1"/>
  <c r="X86" i="7"/>
  <c r="P86" i="7" s="1"/>
  <c r="X85" i="7"/>
  <c r="P85" i="7" s="1"/>
  <c r="X16" i="7"/>
  <c r="P16" i="7" s="1"/>
  <c r="X18" i="7"/>
  <c r="P18" i="7" s="1"/>
  <c r="X84" i="7"/>
  <c r="P84" i="7" s="1"/>
  <c r="X193" i="7"/>
  <c r="P193" i="7" s="1"/>
  <c r="X102" i="7"/>
  <c r="P102" i="7" s="1"/>
  <c r="X170" i="7"/>
  <c r="P170" i="7" s="1"/>
  <c r="BA4" i="8"/>
  <c r="X21" i="7"/>
  <c r="P21" i="7" s="1"/>
  <c r="X17" i="7"/>
  <c r="P17" i="7" s="1"/>
  <c r="P89" i="7"/>
  <c r="X20" i="7"/>
  <c r="P20" i="7" s="1"/>
  <c r="X19" i="7"/>
  <c r="P19" i="7" s="1"/>
  <c r="X83" i="7"/>
  <c r="P83" i="7" s="1"/>
  <c r="X79" i="7"/>
  <c r="P79" i="7" s="1"/>
  <c r="X80" i="7"/>
  <c r="P80" i="7" s="1"/>
  <c r="X82" i="7"/>
  <c r="P82" i="7" s="1"/>
  <c r="X77" i="7"/>
  <c r="P77" i="7" s="1"/>
  <c r="X81" i="7"/>
  <c r="P81" i="7" s="1"/>
  <c r="X78" i="7"/>
  <c r="P78" i="7" s="1"/>
  <c r="AB111" i="7"/>
  <c r="Q111" i="7" s="1"/>
  <c r="A44" i="3"/>
  <c r="AB93" i="7"/>
  <c r="Q93" i="7" s="1"/>
  <c r="AB108" i="7"/>
  <c r="Q108" i="7" s="1"/>
  <c r="AB110" i="7"/>
  <c r="Q110" i="7" s="1"/>
  <c r="AB92" i="7"/>
  <c r="Q92" i="7" s="1"/>
  <c r="BE5" i="8"/>
  <c r="AB109" i="7"/>
  <c r="Q109" i="7" s="1"/>
  <c r="Y44" i="3"/>
  <c r="N9" i="16"/>
  <c r="O9" i="16" s="1"/>
  <c r="P9" i="16" s="1"/>
  <c r="M9" i="17"/>
  <c r="N9" i="17" s="1"/>
  <c r="O9" i="17" s="1"/>
  <c r="N13" i="11"/>
  <c r="O13" i="11" s="1"/>
  <c r="N14" i="11" s="1"/>
  <c r="O14" i="11" s="1"/>
  <c r="F7" i="11" s="1"/>
  <c r="L7" i="11" s="1"/>
  <c r="AB105" i="7" s="1"/>
  <c r="Q105" i="7" s="1"/>
  <c r="AB107" i="7"/>
  <c r="Q107" i="7" s="1"/>
  <c r="AB21" i="7"/>
  <c r="Q21" i="7" s="1"/>
  <c r="AB83" i="7"/>
  <c r="Q83" i="7" s="1"/>
  <c r="AB85" i="7"/>
  <c r="Q85" i="7" s="1"/>
  <c r="AB18" i="7"/>
  <c r="Q18" i="7" s="1"/>
  <c r="AB102" i="7"/>
  <c r="Q102" i="7" s="1"/>
  <c r="Q89" i="7"/>
  <c r="AB20" i="7"/>
  <c r="Q20" i="7" s="1"/>
  <c r="AB86" i="7"/>
  <c r="Q86" i="7" s="1"/>
  <c r="AB16" i="7"/>
  <c r="Q16" i="7" s="1"/>
  <c r="AB170" i="7"/>
  <c r="Q170" i="7" s="1"/>
  <c r="AB19" i="7"/>
  <c r="Q19" i="7" s="1"/>
  <c r="BA5" i="8"/>
  <c r="AB84" i="7"/>
  <c r="Q84" i="7" s="1"/>
  <c r="AB17" i="7"/>
  <c r="Q17" i="7" s="1"/>
  <c r="AB78" i="7"/>
  <c r="Q78" i="7" s="1"/>
  <c r="BJ5" i="8"/>
  <c r="AB158" i="7"/>
  <c r="Q158" i="7" s="1"/>
  <c r="AB154" i="7"/>
  <c r="Q154" i="7" s="1"/>
  <c r="AB153" i="7"/>
  <c r="Q153" i="7" s="1"/>
  <c r="AB155" i="7"/>
  <c r="Q155" i="7" s="1"/>
  <c r="AB157" i="7"/>
  <c r="Q157" i="7" s="1"/>
  <c r="AB156" i="7"/>
  <c r="Q156" i="7" s="1"/>
  <c r="BA3" i="8"/>
  <c r="U16" i="7"/>
  <c r="O16" i="7" s="1"/>
  <c r="U20" i="7"/>
  <c r="O20" i="7" s="1"/>
  <c r="U17" i="7"/>
  <c r="O17" i="7" s="1"/>
  <c r="U193" i="7"/>
  <c r="O193" i="7" s="1"/>
  <c r="U83" i="7"/>
  <c r="O83" i="7" s="1"/>
  <c r="U170" i="7"/>
  <c r="O170" i="7" s="1"/>
  <c r="U21" i="7"/>
  <c r="O21" i="7" s="1"/>
  <c r="U18" i="7"/>
  <c r="O18" i="7" s="1"/>
  <c r="U19" i="7"/>
  <c r="O19" i="7" s="1"/>
  <c r="U86" i="7"/>
  <c r="O86" i="7" s="1"/>
  <c r="U85" i="7"/>
  <c r="O85" i="7" s="1"/>
  <c r="U84" i="7"/>
  <c r="O84" i="7" s="1"/>
  <c r="O89" i="7"/>
  <c r="U77" i="7"/>
  <c r="O77" i="7" s="1"/>
  <c r="U79" i="7"/>
  <c r="O79" i="7" s="1"/>
  <c r="U82" i="7"/>
  <c r="O82" i="7" s="1"/>
  <c r="U80" i="7"/>
  <c r="O80" i="7" s="1"/>
  <c r="U81" i="7"/>
  <c r="O81" i="7" s="1"/>
  <c r="U78" i="7"/>
  <c r="O78" i="7" s="1"/>
  <c r="X155" i="7"/>
  <c r="P155" i="7" s="1"/>
  <c r="X156" i="7"/>
  <c r="P156" i="7" s="1"/>
  <c r="X157" i="7"/>
  <c r="P157" i="7" s="1"/>
  <c r="X158" i="7"/>
  <c r="P158" i="7" s="1"/>
  <c r="X153" i="7"/>
  <c r="P153" i="7" s="1"/>
  <c r="X154" i="7"/>
  <c r="P154" i="7" s="1"/>
  <c r="BJ4" i="8"/>
  <c r="BE4" i="8"/>
  <c r="X93" i="7"/>
  <c r="P93" i="7" s="1"/>
  <c r="X110" i="7"/>
  <c r="P110" i="7" s="1"/>
  <c r="X109" i="7"/>
  <c r="P109" i="7" s="1"/>
  <c r="X92" i="7"/>
  <c r="P92" i="7" s="1"/>
  <c r="X107" i="7"/>
  <c r="P107" i="7" s="1"/>
  <c r="X108" i="7"/>
  <c r="P108" i="7" s="1"/>
  <c r="H9" i="17"/>
  <c r="I9" i="17" s="1"/>
  <c r="J9" i="17" s="1"/>
  <c r="Y28" i="3"/>
  <c r="A28" i="3"/>
  <c r="I9" i="16"/>
  <c r="J9" i="16" s="1"/>
  <c r="J10" i="16" s="1"/>
  <c r="X111" i="7"/>
  <c r="P111" i="7" s="1"/>
  <c r="I13" i="11"/>
  <c r="J13" i="11" s="1"/>
  <c r="I14" i="11" s="1"/>
  <c r="J14" i="11" s="1"/>
  <c r="E7" i="11" s="1"/>
  <c r="H23" i="15"/>
  <c r="I22" i="15"/>
  <c r="H26" i="15" s="1"/>
  <c r="U108" i="7"/>
  <c r="O108" i="7" s="1"/>
  <c r="U92" i="7"/>
  <c r="O92" i="7" s="1"/>
  <c r="BE3" i="8"/>
  <c r="C9" i="17"/>
  <c r="D9" i="17" s="1"/>
  <c r="E9" i="17" s="1"/>
  <c r="D9" i="16"/>
  <c r="E9" i="16" s="1"/>
  <c r="F9" i="16" s="1"/>
  <c r="A12" i="3"/>
  <c r="U110" i="7"/>
  <c r="O110" i="7" s="1"/>
  <c r="D13" i="11"/>
  <c r="E13" i="11" s="1"/>
  <c r="D14" i="11" s="1"/>
  <c r="E14" i="11" s="1"/>
  <c r="D7" i="11" s="1"/>
  <c r="J7" i="11" s="1"/>
  <c r="U105" i="7" s="1"/>
  <c r="O105" i="7" s="1"/>
  <c r="U109" i="7"/>
  <c r="O109" i="7" s="1"/>
  <c r="U107" i="7"/>
  <c r="O107" i="7" s="1"/>
  <c r="Y12" i="3"/>
  <c r="U93" i="7"/>
  <c r="O93" i="7" s="1"/>
  <c r="U111" i="7"/>
  <c r="O111" i="7" s="1"/>
  <c r="T22" i="5"/>
  <c r="S22" i="5" s="1"/>
  <c r="S23" i="5" s="1"/>
  <c r="S24" i="5" s="1"/>
  <c r="T24" i="5" s="1"/>
  <c r="S26" i="5" s="1"/>
  <c r="O11" i="3"/>
  <c r="O12" i="3" s="1"/>
  <c r="R12" i="3" s="1"/>
  <c r="BD3" i="8"/>
  <c r="U298" i="7" s="1"/>
  <c r="O298" i="7" s="1"/>
  <c r="AB81" i="7"/>
  <c r="Q81" i="7" s="1"/>
  <c r="W22" i="5"/>
  <c r="V22" i="5" s="1"/>
  <c r="V23" i="5" s="1"/>
  <c r="V24" i="5" s="1"/>
  <c r="W24" i="5" s="1"/>
  <c r="V26" i="5" s="1"/>
  <c r="O27" i="3"/>
  <c r="O28" i="3" s="1"/>
  <c r="R28" i="3" s="1"/>
  <c r="BD4" i="8"/>
  <c r="X298" i="7" s="1"/>
  <c r="P298" i="7" s="1"/>
  <c r="AB79" i="7"/>
  <c r="Q79" i="7" s="1"/>
  <c r="U168" i="7" l="1"/>
  <c r="O168" i="7" s="1"/>
  <c r="U167" i="7"/>
  <c r="O167" i="7" s="1"/>
  <c r="F24" i="15"/>
  <c r="Z27" i="3" s="1"/>
  <c r="O20" i="3"/>
  <c r="X20" i="3"/>
  <c r="D24" i="15"/>
  <c r="E3" i="16"/>
  <c r="K7" i="11" s="1"/>
  <c r="X105" i="7" s="1"/>
  <c r="P105" i="7" s="1"/>
  <c r="L9" i="16"/>
  <c r="O36" i="3"/>
  <c r="X36" i="3"/>
  <c r="O4" i="3"/>
  <c r="X4" i="3"/>
  <c r="H24" i="15"/>
  <c r="X95" i="7" l="1"/>
  <c r="P95" i="7" s="1"/>
  <c r="AB27" i="7"/>
  <c r="I5" i="8"/>
  <c r="AB25" i="7"/>
  <c r="Q25" i="7" s="1"/>
  <c r="AB29" i="7"/>
  <c r="Q29" i="7" s="1"/>
  <c r="AB28" i="7"/>
  <c r="Q28" i="7" s="1"/>
  <c r="F35" i="3"/>
  <c r="U27" i="7"/>
  <c r="U29" i="7"/>
  <c r="O29" i="7" s="1"/>
  <c r="U25" i="7"/>
  <c r="O25" i="7" s="1"/>
  <c r="U28" i="7"/>
  <c r="O28" i="7" s="1"/>
  <c r="I3" i="8"/>
  <c r="F3" i="3"/>
  <c r="Z43" i="3"/>
  <c r="AB95" i="7"/>
  <c r="Q95" i="7" s="1"/>
  <c r="H5" i="8"/>
  <c r="W36" i="3"/>
  <c r="AB9" i="7" s="1"/>
  <c r="Z6" i="5"/>
  <c r="Z11" i="3"/>
  <c r="U95" i="7"/>
  <c r="O95" i="7" s="1"/>
  <c r="S6" i="5"/>
  <c r="H3" i="8"/>
  <c r="W4" i="3"/>
  <c r="U9" i="7" s="1"/>
  <c r="T6" i="5"/>
  <c r="H4" i="8"/>
  <c r="W20" i="3"/>
  <c r="X9" i="7" s="1"/>
  <c r="W6" i="5"/>
  <c r="X29" i="7"/>
  <c r="P29" i="7" s="1"/>
  <c r="X28" i="7"/>
  <c r="P28" i="7" s="1"/>
  <c r="X25" i="7"/>
  <c r="P25" i="7" s="1"/>
  <c r="I4" i="8"/>
  <c r="X27" i="7"/>
  <c r="F19" i="3"/>
  <c r="P27" i="7" l="1"/>
  <c r="X8" i="7"/>
  <c r="P8" i="7" s="1"/>
  <c r="P9" i="7"/>
  <c r="X36" i="7"/>
  <c r="Q9" i="7"/>
  <c r="AB36" i="7"/>
  <c r="O27" i="7"/>
  <c r="U8" i="7"/>
  <c r="O8" i="7" s="1"/>
  <c r="V4" i="3"/>
  <c r="C4" i="3"/>
  <c r="V20" i="3"/>
  <c r="C20" i="3"/>
  <c r="O9" i="7"/>
  <c r="U36" i="7"/>
  <c r="V36" i="3"/>
  <c r="C36" i="3"/>
  <c r="Q27" i="7"/>
  <c r="AB8" i="7"/>
  <c r="Q8" i="7" s="1"/>
  <c r="X3" i="7" l="1"/>
  <c r="W17" i="3" s="1"/>
  <c r="P36" i="7"/>
  <c r="P1" i="7" s="1"/>
  <c r="Z18" i="3" s="1"/>
  <c r="Z17" i="3" s="1"/>
  <c r="U18" i="3"/>
  <c r="R4" i="8" s="1"/>
  <c r="Q36" i="7"/>
  <c r="Q1" i="7" s="1"/>
  <c r="Z34" i="3" s="1"/>
  <c r="Z33" i="3" s="1"/>
  <c r="U34" i="3"/>
  <c r="R5" i="8" s="1"/>
  <c r="O36" i="7"/>
  <c r="O1" i="7" s="1"/>
  <c r="Z2" i="3" s="1"/>
  <c r="Z1" i="3" s="1"/>
  <c r="U2" i="3"/>
  <c r="AB3" i="7"/>
  <c r="W33" i="3" s="1"/>
  <c r="U3" i="7"/>
  <c r="W1" i="3" s="1"/>
  <c r="R3" i="8" l="1"/>
  <c r="N2" i="10"/>
  <c r="X17" i="3"/>
  <c r="BT4" i="8" s="1"/>
  <c r="X1" i="3"/>
  <c r="X33" i="3"/>
  <c r="G23" i="3" l="1"/>
  <c r="BV4" i="8" s="1"/>
  <c r="BT3" i="8"/>
  <c r="G7" i="3"/>
  <c r="BT5" i="8"/>
  <c r="G39" i="3"/>
  <c r="Z19" i="3" l="1"/>
  <c r="BW4" i="8" s="1"/>
  <c r="BV5" i="8"/>
  <c r="Z35" i="3"/>
  <c r="BW5" i="8" s="1"/>
  <c r="BV3" i="8"/>
  <c r="Z3" i="3"/>
  <c r="BW3" i="8" s="1"/>
  <c r="BV7" i="8" l="1"/>
</calcChain>
</file>

<file path=xl/comments1.xml><?xml version="1.0" encoding="utf-8"?>
<comments xmlns="http://schemas.openxmlformats.org/spreadsheetml/2006/main">
  <authors>
    <author>Петрович</author>
  </authors>
  <commentList>
    <comment ref="G12" authorId="0" shapeId="0">
      <text>
        <r>
          <rPr>
            <sz val="9"/>
            <color indexed="81"/>
            <rFont val="Tahoma"/>
            <family val="2"/>
            <charset val="204"/>
          </rPr>
          <t>с учётом дилерского коэф.0,9</t>
        </r>
      </text>
    </comment>
  </commentList>
</comments>
</file>

<file path=xl/sharedStrings.xml><?xml version="1.0" encoding="utf-8"?>
<sst xmlns="http://schemas.openxmlformats.org/spreadsheetml/2006/main" count="3442" uniqueCount="1672">
  <si>
    <t>открывание</t>
  </si>
  <si>
    <t>серебро</t>
  </si>
  <si>
    <t>Металл</t>
  </si>
  <si>
    <t>Фрезеровка</t>
  </si>
  <si>
    <t>АП-16</t>
  </si>
  <si>
    <t>Патина</t>
  </si>
  <si>
    <t>МДФ</t>
  </si>
  <si>
    <t>Эльбор с тягами</t>
  </si>
  <si>
    <t>Эльбор без тяг</t>
  </si>
  <si>
    <t>Броня</t>
  </si>
  <si>
    <t>контур</t>
  </si>
  <si>
    <t>металл</t>
  </si>
  <si>
    <t>толщина полотна</t>
  </si>
  <si>
    <t>толщина коробки</t>
  </si>
  <si>
    <t>петли</t>
  </si>
  <si>
    <t>утеплитель</t>
  </si>
  <si>
    <t>Isover</t>
  </si>
  <si>
    <t>конструкция</t>
  </si>
  <si>
    <t>замок верхний</t>
  </si>
  <si>
    <t>замок нижний</t>
  </si>
  <si>
    <t>ночная задвижка</t>
  </si>
  <si>
    <t>нет</t>
  </si>
  <si>
    <t>цилиндр</t>
  </si>
  <si>
    <t>броня</t>
  </si>
  <si>
    <t>ручки</t>
  </si>
  <si>
    <t>Порошок</t>
  </si>
  <si>
    <t>Р001</t>
  </si>
  <si>
    <t>розетка</t>
  </si>
  <si>
    <t>Апекс</t>
  </si>
  <si>
    <t>да</t>
  </si>
  <si>
    <t>регулятор притвора</t>
  </si>
  <si>
    <t>Окраска</t>
  </si>
  <si>
    <t>шагрень</t>
  </si>
  <si>
    <t>шёлк</t>
  </si>
  <si>
    <t>фурнитура</t>
  </si>
  <si>
    <t>снаружи</t>
  </si>
  <si>
    <t>внутри</t>
  </si>
  <si>
    <t>Оделка</t>
  </si>
  <si>
    <t>плёна</t>
  </si>
  <si>
    <t>замок верх</t>
  </si>
  <si>
    <t>замок низ</t>
  </si>
  <si>
    <t>Crit</t>
  </si>
  <si>
    <t>Pava</t>
  </si>
  <si>
    <t>Apecs</t>
  </si>
  <si>
    <t>Шторка</t>
  </si>
  <si>
    <t>Накладка</t>
  </si>
  <si>
    <t>Kale</t>
  </si>
  <si>
    <t>Замена Хром на</t>
  </si>
  <si>
    <t>Золото</t>
  </si>
  <si>
    <t>Бронза</t>
  </si>
  <si>
    <t>Доводчик</t>
  </si>
  <si>
    <t>Кодовый мех.</t>
  </si>
  <si>
    <t>Kale 257 L</t>
  </si>
  <si>
    <t>Kale 257 R</t>
  </si>
  <si>
    <t>Kale 189 MR</t>
  </si>
  <si>
    <t>Kale 252 R</t>
  </si>
  <si>
    <t>Добор</t>
  </si>
  <si>
    <t>внутрь</t>
  </si>
  <si>
    <t>уплотнитель</t>
  </si>
  <si>
    <t>накладка на порог</t>
  </si>
  <si>
    <t>молдинг</t>
  </si>
  <si>
    <t>геркон</t>
  </si>
  <si>
    <t>полимерный</t>
  </si>
  <si>
    <t>Утеплитель</t>
  </si>
  <si>
    <t>Paroc</t>
  </si>
  <si>
    <t>Вин.кожа снаружи</t>
  </si>
  <si>
    <t>Вин.кожа внутри</t>
  </si>
  <si>
    <t>Замена ПВХ на</t>
  </si>
  <si>
    <t>наличник</t>
  </si>
  <si>
    <t>накладка</t>
  </si>
  <si>
    <t>без отделки</t>
  </si>
  <si>
    <t>Упаковка</t>
  </si>
  <si>
    <t>картон + пенопласт</t>
  </si>
  <si>
    <t>стрейч + пенопласт</t>
  </si>
  <si>
    <t>Окно Подъездное</t>
  </si>
  <si>
    <t>Окно Д</t>
  </si>
  <si>
    <t>Окно Е</t>
  </si>
  <si>
    <t>Окно Ч</t>
  </si>
  <si>
    <t>Портал</t>
  </si>
  <si>
    <t>2 петли</t>
  </si>
  <si>
    <t>3 петли</t>
  </si>
  <si>
    <t>Сл+Пр</t>
  </si>
  <si>
    <t>Столбец1</t>
  </si>
  <si>
    <t>ЗАКАЗ №</t>
  </si>
  <si>
    <t>Модель</t>
  </si>
  <si>
    <t>Сторона откр-ния:</t>
  </si>
  <si>
    <t>Размер</t>
  </si>
  <si>
    <t>Крепл-е:</t>
  </si>
  <si>
    <t>Замки:</t>
  </si>
  <si>
    <t>Цвет:</t>
  </si>
  <si>
    <t>Хром</t>
  </si>
  <si>
    <t>Версаче-Х</t>
  </si>
  <si>
    <t>Шагрень</t>
  </si>
  <si>
    <t>чёрный</t>
  </si>
  <si>
    <t>Внутри:</t>
  </si>
  <si>
    <t>Н-54 Од</t>
  </si>
  <si>
    <t>2-х конт.</t>
  </si>
  <si>
    <t>цвет ручки</t>
  </si>
  <si>
    <t>регулятор</t>
  </si>
  <si>
    <t>фрезеровка</t>
  </si>
  <si>
    <t>толщина материала</t>
  </si>
  <si>
    <t>ДСП</t>
  </si>
  <si>
    <t>А-1</t>
  </si>
  <si>
    <t>АП-1</t>
  </si>
  <si>
    <t>АХ-1</t>
  </si>
  <si>
    <t>Бавария-Х-о</t>
  </si>
  <si>
    <t>А-3</t>
  </si>
  <si>
    <t>АП-2</t>
  </si>
  <si>
    <t>Берген</t>
  </si>
  <si>
    <t>Зеркало</t>
  </si>
  <si>
    <t>А-2</t>
  </si>
  <si>
    <t>АП-3</t>
  </si>
  <si>
    <t>Горки-Х</t>
  </si>
  <si>
    <t>Берген-П</t>
  </si>
  <si>
    <t>А-4</t>
  </si>
  <si>
    <t>АП-3+</t>
  </si>
  <si>
    <t>Елена</t>
  </si>
  <si>
    <t>Горки-П-о</t>
  </si>
  <si>
    <t>А-5</t>
  </si>
  <si>
    <t>АП-3++</t>
  </si>
  <si>
    <t>Н-3.2 + № ХФ</t>
  </si>
  <si>
    <t>Горки-Х-о</t>
  </si>
  <si>
    <t>А-6</t>
  </si>
  <si>
    <t>АП-4</t>
  </si>
  <si>
    <t>Н-54-Х</t>
  </si>
  <si>
    <t>Модена-П-о</t>
  </si>
  <si>
    <t>А-7</t>
  </si>
  <si>
    <t>АП-4+</t>
  </si>
  <si>
    <t>Н-54-Х+</t>
  </si>
  <si>
    <t>А-8</t>
  </si>
  <si>
    <t>АП-5</t>
  </si>
  <si>
    <t>ХФ-11</t>
  </si>
  <si>
    <t>Триумф-о</t>
  </si>
  <si>
    <t>А-9</t>
  </si>
  <si>
    <t>АП-5+</t>
  </si>
  <si>
    <t>ХФ-13</t>
  </si>
  <si>
    <t>ХФ-31-о</t>
  </si>
  <si>
    <t>Пиксель</t>
  </si>
  <si>
    <t>А-10</t>
  </si>
  <si>
    <t>АП-5++</t>
  </si>
  <si>
    <t>ХФ-14</t>
  </si>
  <si>
    <t>А-11</t>
  </si>
  <si>
    <t>П-7+</t>
  </si>
  <si>
    <t>ХФ-21</t>
  </si>
  <si>
    <t>А-12</t>
  </si>
  <si>
    <t>АП-6</t>
  </si>
  <si>
    <t>ХФ-22</t>
  </si>
  <si>
    <t>А-13</t>
  </si>
  <si>
    <t>АП-7</t>
  </si>
  <si>
    <t>ХФ-23</t>
  </si>
  <si>
    <t>А-14</t>
  </si>
  <si>
    <t>АП-7+</t>
  </si>
  <si>
    <t>ХФ-24</t>
  </si>
  <si>
    <t>А-15</t>
  </si>
  <si>
    <t>АП-8</t>
  </si>
  <si>
    <t>ХФ-31</t>
  </si>
  <si>
    <t>А-16</t>
  </si>
  <si>
    <t>АП-9</t>
  </si>
  <si>
    <t>А-17</t>
  </si>
  <si>
    <t>АП-9+</t>
  </si>
  <si>
    <t>ХФ-32</t>
  </si>
  <si>
    <t>А-18</t>
  </si>
  <si>
    <t>АП-10</t>
  </si>
  <si>
    <t>ХФ-33</t>
  </si>
  <si>
    <t>А-19</t>
  </si>
  <si>
    <t>АП-10+</t>
  </si>
  <si>
    <t>ХФ-34</t>
  </si>
  <si>
    <t>А-20</t>
  </si>
  <si>
    <t>АП-11</t>
  </si>
  <si>
    <t>ХФ-35</t>
  </si>
  <si>
    <t>А-21</t>
  </si>
  <si>
    <t>АП-12</t>
  </si>
  <si>
    <t>ХФ-36</t>
  </si>
  <si>
    <t>А-22</t>
  </si>
  <si>
    <t>АП-13</t>
  </si>
  <si>
    <t>ХФ-37</t>
  </si>
  <si>
    <t>А-23</t>
  </si>
  <si>
    <t>АП-14</t>
  </si>
  <si>
    <t>ХФ-38</t>
  </si>
  <si>
    <t>А-24</t>
  </si>
  <si>
    <t>АП-15</t>
  </si>
  <si>
    <t>А-25</t>
  </si>
  <si>
    <t>А-26</t>
  </si>
  <si>
    <t>АП-17</t>
  </si>
  <si>
    <t>А-27</t>
  </si>
  <si>
    <t>АП-18</t>
  </si>
  <si>
    <t>А-28</t>
  </si>
  <si>
    <t>А-29</t>
  </si>
  <si>
    <t>АП-19</t>
  </si>
  <si>
    <t>А-30</t>
  </si>
  <si>
    <t>А-31</t>
  </si>
  <si>
    <t>АП-20</t>
  </si>
  <si>
    <t>А-32</t>
  </si>
  <si>
    <t>АП-21</t>
  </si>
  <si>
    <t>А-33</t>
  </si>
  <si>
    <t>АП-22</t>
  </si>
  <si>
    <t>Альтаир</t>
  </si>
  <si>
    <t>АП-23</t>
  </si>
  <si>
    <t>Базилика</t>
  </si>
  <si>
    <t>АП-24</t>
  </si>
  <si>
    <t>АП-25</t>
  </si>
  <si>
    <t xml:space="preserve">Глория </t>
  </si>
  <si>
    <t>АП-26</t>
  </si>
  <si>
    <t>АП-27</t>
  </si>
  <si>
    <t>Денвер</t>
  </si>
  <si>
    <t>АП-28</t>
  </si>
  <si>
    <t>Дубль</t>
  </si>
  <si>
    <t>АП-29</t>
  </si>
  <si>
    <t>G-3</t>
  </si>
  <si>
    <t>АП-30</t>
  </si>
  <si>
    <t>Инок</t>
  </si>
  <si>
    <t>АП-31</t>
  </si>
  <si>
    <t>Калибри</t>
  </si>
  <si>
    <t>АП-32</t>
  </si>
  <si>
    <t>Каскад</t>
  </si>
  <si>
    <t>АП-33</t>
  </si>
  <si>
    <t>Клео</t>
  </si>
  <si>
    <t>АП-34</t>
  </si>
  <si>
    <t>Классика</t>
  </si>
  <si>
    <t>Байкал-П</t>
  </si>
  <si>
    <t>Колос</t>
  </si>
  <si>
    <t>Версаче-П</t>
  </si>
  <si>
    <t>Лабиринт</t>
  </si>
  <si>
    <t>Горки-П</t>
  </si>
  <si>
    <t>Лайн</t>
  </si>
  <si>
    <t>Горки-П+</t>
  </si>
  <si>
    <t>Лиана</t>
  </si>
  <si>
    <t>Монарх-2</t>
  </si>
  <si>
    <t>Лукоморье</t>
  </si>
  <si>
    <t>Марк</t>
  </si>
  <si>
    <t>Марк-2</t>
  </si>
  <si>
    <t>П-1</t>
  </si>
  <si>
    <t>Метро</t>
  </si>
  <si>
    <t>П-2</t>
  </si>
  <si>
    <t>П-3</t>
  </si>
  <si>
    <t>Мечта рыбака</t>
  </si>
  <si>
    <t>П-4</t>
  </si>
  <si>
    <t>Монарх</t>
  </si>
  <si>
    <t>П-5</t>
  </si>
  <si>
    <t>Н-2</t>
  </si>
  <si>
    <t>П-6</t>
  </si>
  <si>
    <t>П-7</t>
  </si>
  <si>
    <t>П-8</t>
  </si>
  <si>
    <t>П-8.2</t>
  </si>
  <si>
    <t>П-9</t>
  </si>
  <si>
    <t>П-10</t>
  </si>
  <si>
    <t>П-10.2</t>
  </si>
  <si>
    <t>П-10.2+</t>
  </si>
  <si>
    <t>П-11</t>
  </si>
  <si>
    <t>П-13</t>
  </si>
  <si>
    <t>П-14</t>
  </si>
  <si>
    <t>П-15</t>
  </si>
  <si>
    <t>П-40</t>
  </si>
  <si>
    <t>Турин</t>
  </si>
  <si>
    <t>Око</t>
  </si>
  <si>
    <t>орнамент</t>
  </si>
  <si>
    <t>О-Р</t>
  </si>
  <si>
    <t>Параграф</t>
  </si>
  <si>
    <t>Паутинка</t>
  </si>
  <si>
    <t>Пётр</t>
  </si>
  <si>
    <t>Пикасо</t>
  </si>
  <si>
    <t>Плетёнка</t>
  </si>
  <si>
    <t>Плетень</t>
  </si>
  <si>
    <t>Плетень-2</t>
  </si>
  <si>
    <t>Полюса</t>
  </si>
  <si>
    <t>Пропеллер</t>
  </si>
  <si>
    <t>Сандро</t>
  </si>
  <si>
    <t>Сенатор-1</t>
  </si>
  <si>
    <t>Сенатор-2</t>
  </si>
  <si>
    <t>Серж</t>
  </si>
  <si>
    <t>Система</t>
  </si>
  <si>
    <t>Слалом</t>
  </si>
  <si>
    <t>Спарта</t>
  </si>
  <si>
    <t>Спарта-4</t>
  </si>
  <si>
    <t>Стиль</t>
  </si>
  <si>
    <t>Сфинкс</t>
  </si>
  <si>
    <t>Сфинкс-4</t>
  </si>
  <si>
    <t>Талисман</t>
  </si>
  <si>
    <t>Тритон</t>
  </si>
  <si>
    <t>Триумф</t>
  </si>
  <si>
    <t>Триумф-А</t>
  </si>
  <si>
    <t>Фестиваль</t>
  </si>
  <si>
    <t>Элемент</t>
  </si>
  <si>
    <t>обработка</t>
  </si>
  <si>
    <t>фрез</t>
  </si>
  <si>
    <t>Прем.</t>
  </si>
  <si>
    <t>Прост.</t>
  </si>
  <si>
    <t>прост.</t>
  </si>
  <si>
    <t>плёнка</t>
  </si>
  <si>
    <t>синяя</t>
  </si>
  <si>
    <t>зелёная</t>
  </si>
  <si>
    <t>Шёлк</t>
  </si>
  <si>
    <t>Антик</t>
  </si>
  <si>
    <t>медь</t>
  </si>
  <si>
    <t>бронза</t>
  </si>
  <si>
    <t>Муар</t>
  </si>
  <si>
    <t>Isover х2</t>
  </si>
  <si>
    <t>внутренняя</t>
  </si>
  <si>
    <t>Вин.кожа РФ</t>
  </si>
  <si>
    <t>Вин.кожа Индия</t>
  </si>
  <si>
    <t>Кофе</t>
  </si>
  <si>
    <t>Серебро</t>
  </si>
  <si>
    <t>Заказ № 1</t>
  </si>
  <si>
    <t>Заказ № 2</t>
  </si>
  <si>
    <t>Заказ № 3</t>
  </si>
  <si>
    <t>Параметр</t>
  </si>
  <si>
    <t>коробка</t>
  </si>
  <si>
    <t>Комби.</t>
  </si>
  <si>
    <t>комби.</t>
  </si>
  <si>
    <t>ХФ_1</t>
  </si>
  <si>
    <t>ХФ_2</t>
  </si>
  <si>
    <t>ХФ_3</t>
  </si>
  <si>
    <t>патина</t>
  </si>
  <si>
    <t>наружний щит</t>
  </si>
  <si>
    <t>внутренний щит</t>
  </si>
  <si>
    <t>Снаружи</t>
  </si>
  <si>
    <t>Внутри</t>
  </si>
  <si>
    <t>Винорит -</t>
  </si>
  <si>
    <t>Аверс</t>
  </si>
  <si>
    <t>Цилиндр +ПР</t>
  </si>
  <si>
    <t>3-х конт.</t>
  </si>
  <si>
    <t>S доп.</t>
  </si>
  <si>
    <t>Окно Подъездное+решёт.</t>
  </si>
  <si>
    <t>Окно Подъезд.без решёт.</t>
  </si>
  <si>
    <t>Окно Д с решёткой</t>
  </si>
  <si>
    <t>Окно Д без решётки</t>
  </si>
  <si>
    <t>Окно Е с решёткой</t>
  </si>
  <si>
    <t>Окно Е без решётки</t>
  </si>
  <si>
    <t>Окно Ч с решёткой</t>
  </si>
  <si>
    <t>Окно Ч без решётки</t>
  </si>
  <si>
    <t>Уплотнитель:</t>
  </si>
  <si>
    <t>Без отделки</t>
  </si>
  <si>
    <t>Авт.Apecs</t>
  </si>
  <si>
    <t>Авт.Crit</t>
  </si>
  <si>
    <t>S доп.=</t>
  </si>
  <si>
    <t>без патины</t>
  </si>
  <si>
    <t>B-06 Элит</t>
  </si>
  <si>
    <t>В-10 Элит</t>
  </si>
  <si>
    <t>Cz-36 Элит</t>
  </si>
  <si>
    <t>O-18 Элит</t>
  </si>
  <si>
    <t>О-18 Россия</t>
  </si>
  <si>
    <t>В-06 Россия</t>
  </si>
  <si>
    <t>W-12 Россия</t>
  </si>
  <si>
    <t>Cz-36 Россия</t>
  </si>
  <si>
    <t>Винкожа_РФ</t>
  </si>
  <si>
    <t>Винкожа_Индия</t>
  </si>
  <si>
    <t>мет_с_грунт</t>
  </si>
  <si>
    <t>Корич-я</t>
  </si>
  <si>
    <t>Задвижка</t>
  </si>
  <si>
    <t>2-х створ.</t>
  </si>
  <si>
    <t>Добор 1 шт.</t>
  </si>
  <si>
    <t>Добор 2 шт.</t>
  </si>
  <si>
    <t>Добор 3 шт.</t>
  </si>
  <si>
    <t>2-х створ.0-310</t>
  </si>
  <si>
    <t>цена</t>
  </si>
  <si>
    <t>базовая</t>
  </si>
  <si>
    <t>Треугольник</t>
  </si>
  <si>
    <t>отсутст. ст-ть замков</t>
  </si>
  <si>
    <t>к Винориту</t>
  </si>
  <si>
    <t>увеличение ширины портала</t>
  </si>
  <si>
    <t>Наличник</t>
  </si>
  <si>
    <t>_1_верхним_добором</t>
  </si>
  <si>
    <t>_1_створчатая</t>
  </si>
  <si>
    <t>_2_створчатая</t>
  </si>
  <si>
    <t>_2_верхним_добором</t>
  </si>
  <si>
    <t>_1_левым_добором</t>
  </si>
  <si>
    <t>_2_левым_добором</t>
  </si>
  <si>
    <t>_1_правым_добором</t>
  </si>
  <si>
    <t>_2_правым_добором</t>
  </si>
  <si>
    <t>_1_3_мя_доборами</t>
  </si>
  <si>
    <t>_1_Центр_выпукл</t>
  </si>
  <si>
    <t>_1_Бока_выпуклы</t>
  </si>
  <si>
    <t>_2_3_мя_доборами</t>
  </si>
  <si>
    <t>Дата:</t>
  </si>
  <si>
    <t>в ы п у к л о с т ь</t>
  </si>
  <si>
    <t>1.5 мм.</t>
  </si>
  <si>
    <t>1.0 мм.</t>
  </si>
  <si>
    <t>1.0 с грунтом</t>
  </si>
  <si>
    <t>1.2 мм.</t>
  </si>
  <si>
    <t>Дата</t>
  </si>
  <si>
    <t>Заказ</t>
  </si>
  <si>
    <t>№</t>
  </si>
  <si>
    <t>шир.</t>
  </si>
  <si>
    <t>выс</t>
  </si>
  <si>
    <t>полотно</t>
  </si>
  <si>
    <t>короб.</t>
  </si>
  <si>
    <t>петель</t>
  </si>
  <si>
    <t>открыв.</t>
  </si>
  <si>
    <t>створч-ть</t>
  </si>
  <si>
    <t>утепление</t>
  </si>
  <si>
    <t>мет.нал</t>
  </si>
  <si>
    <t>крепление</t>
  </si>
  <si>
    <t>зам.верх.</t>
  </si>
  <si>
    <t>зам.низ.</t>
  </si>
  <si>
    <t>ручка</t>
  </si>
  <si>
    <t>Отделка снаружи</t>
  </si>
  <si>
    <t>материал</t>
  </si>
  <si>
    <t>толщина</t>
  </si>
  <si>
    <t>слож.</t>
  </si>
  <si>
    <t>покраска</t>
  </si>
  <si>
    <t>цвет</t>
  </si>
  <si>
    <t>наимен-е</t>
  </si>
  <si>
    <t>цвет пат.</t>
  </si>
  <si>
    <t>Отделка внутри</t>
  </si>
  <si>
    <t>портал</t>
  </si>
  <si>
    <t>нал.к порталу</t>
  </si>
  <si>
    <t>окна</t>
  </si>
  <si>
    <t>накладка двери</t>
  </si>
  <si>
    <t>упаковка</t>
  </si>
  <si>
    <t>Коментарий</t>
  </si>
  <si>
    <t>для расчёта принимается только текст в бланке</t>
  </si>
  <si>
    <t>накладки металл</t>
  </si>
  <si>
    <t>О_0</t>
  </si>
  <si>
    <t>О_1</t>
  </si>
  <si>
    <t>О_2</t>
  </si>
  <si>
    <t>М_0</t>
  </si>
  <si>
    <t>М_1</t>
  </si>
  <si>
    <t>М_2</t>
  </si>
  <si>
    <t>М_3</t>
  </si>
  <si>
    <t>О_0 снаружи</t>
  </si>
  <si>
    <t>О_0вн.</t>
  </si>
  <si>
    <t>О_1вн.</t>
  </si>
  <si>
    <t>О_2вн.</t>
  </si>
  <si>
    <t>М_0вн.</t>
  </si>
  <si>
    <t>М_1вн.</t>
  </si>
  <si>
    <t>М_2вн.</t>
  </si>
  <si>
    <t>М_3вн.</t>
  </si>
  <si>
    <t>металл_</t>
  </si>
  <si>
    <t>Замена покраски</t>
  </si>
  <si>
    <t>белая</t>
  </si>
  <si>
    <t>S=</t>
  </si>
  <si>
    <t>Заказчика</t>
  </si>
  <si>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8мм</t>
    </r>
  </si>
  <si>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8</t>
    </r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влаго</t>
    </r>
  </si>
  <si>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16мм</t>
    </r>
  </si>
  <si>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16</t>
    </r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влаго</t>
    </r>
  </si>
  <si>
    <t>нижнего</t>
  </si>
  <si>
    <t>верх.к двуствор.</t>
  </si>
  <si>
    <t>доп.по замкам</t>
  </si>
  <si>
    <t>Линия</t>
  </si>
  <si>
    <t>Столбец2</t>
  </si>
  <si>
    <t>Индивид.</t>
  </si>
  <si>
    <t>__</t>
  </si>
  <si>
    <t>W-12</t>
  </si>
  <si>
    <t>U-5 бел.</t>
  </si>
  <si>
    <t>U-5 чёрн.</t>
  </si>
  <si>
    <t>увеличение наличника</t>
  </si>
  <si>
    <t>U-1 бел.</t>
  </si>
  <si>
    <t>U-11 бел.</t>
  </si>
  <si>
    <t>U-1 чёрн.</t>
  </si>
  <si>
    <t>U-2 бел.</t>
  </si>
  <si>
    <t>U-3 бел.</t>
  </si>
  <si>
    <t>U-2 чёрн.</t>
  </si>
  <si>
    <t>U-3 чёрн.</t>
  </si>
  <si>
    <t>U-4 бел.</t>
  </si>
  <si>
    <t>U-9 чёрн.</t>
  </si>
  <si>
    <t>U-10 чёрн.</t>
  </si>
  <si>
    <t>U-11 чёрн.</t>
  </si>
  <si>
    <t>U-4 чёрн.</t>
  </si>
  <si>
    <t>U-10 бел.</t>
  </si>
  <si>
    <t>уменьш-е S двери</t>
  </si>
  <si>
    <t>2-х створ. 310-410</t>
  </si>
  <si>
    <t>2-х створ. Св. 410</t>
  </si>
  <si>
    <t>16 мм.</t>
  </si>
  <si>
    <t>Дуэт бел.</t>
  </si>
  <si>
    <t>Дуэт чёр.</t>
  </si>
  <si>
    <t>палермо бел.</t>
  </si>
  <si>
    <t>палермо чёр.</t>
  </si>
  <si>
    <t>порто бел.</t>
  </si>
  <si>
    <t>порто чёр.</t>
  </si>
  <si>
    <t>Токио бел.</t>
  </si>
  <si>
    <t>Токио чёр.</t>
  </si>
  <si>
    <t>милано бел.</t>
  </si>
  <si>
    <t>милано чёр.</t>
  </si>
  <si>
    <t>Стэлла бел.</t>
  </si>
  <si>
    <t>Стэлла чёр.</t>
  </si>
  <si>
    <t>пр. допы к2-хст</t>
  </si>
  <si>
    <t>П-2+</t>
  </si>
  <si>
    <t>П-3+</t>
  </si>
  <si>
    <t>Н-3.2</t>
  </si>
  <si>
    <t>Пр.штапик</t>
  </si>
  <si>
    <t>без фрез.</t>
  </si>
  <si>
    <t>8 мм.</t>
  </si>
  <si>
    <t>Спарта-4 бел.</t>
  </si>
  <si>
    <t>Спарта-4 чёр.</t>
  </si>
  <si>
    <t>ПВХ_Стандарт</t>
  </si>
  <si>
    <t>доводчик</t>
  </si>
  <si>
    <t>тип накладки</t>
  </si>
  <si>
    <t>цвет накладки</t>
  </si>
  <si>
    <t>Покраска</t>
  </si>
  <si>
    <t>Байкал</t>
  </si>
  <si>
    <t>Геркон</t>
  </si>
  <si>
    <t>Для 2-х створки</t>
  </si>
  <si>
    <t>Ручки</t>
  </si>
  <si>
    <t>хром</t>
  </si>
  <si>
    <t>золото</t>
  </si>
  <si>
    <t>нержав.</t>
  </si>
  <si>
    <t>Crit_развёр.</t>
  </si>
  <si>
    <t>МДФ нал.</t>
  </si>
  <si>
    <t>милано без стекла</t>
  </si>
  <si>
    <t>Волны</t>
  </si>
  <si>
    <t>Н-54-О-Д Окно</t>
  </si>
  <si>
    <t>АП-17-О-Ч Окно</t>
  </si>
  <si>
    <t>ХФ-31-О-Е Окно</t>
  </si>
  <si>
    <t>АП-18-З</t>
  </si>
  <si>
    <t>АП-19-З</t>
  </si>
  <si>
    <t>О-Е</t>
  </si>
  <si>
    <t xml:space="preserve"> </t>
  </si>
  <si>
    <t>Цена</t>
  </si>
  <si>
    <t>_1_верхним_и_прав_добором</t>
  </si>
  <si>
    <t>_1_верхним_и_лев_добором</t>
  </si>
  <si>
    <t>_2_верхним_и_прав_добором</t>
  </si>
  <si>
    <t>_2_верхним_и_лев_добором</t>
  </si>
  <si>
    <t>Чёрная</t>
  </si>
  <si>
    <t>АК-1 бел.</t>
  </si>
  <si>
    <t>АК-1 чёр.</t>
  </si>
  <si>
    <t>АК-2 бел.</t>
  </si>
  <si>
    <t>АК-2 чёр.</t>
  </si>
  <si>
    <t>АК-3 бел.</t>
  </si>
  <si>
    <t>АК-3 чёр.</t>
  </si>
  <si>
    <t>Сл/Пр</t>
  </si>
  <si>
    <t>Фристайл-К</t>
  </si>
  <si>
    <t>Прима-3Д</t>
  </si>
  <si>
    <t>Авт. KALE</t>
  </si>
  <si>
    <t>Грибок</t>
  </si>
  <si>
    <t>курс</t>
  </si>
  <si>
    <t>АП-15-О-П Окно</t>
  </si>
  <si>
    <t>Сфинкс О-Е</t>
  </si>
  <si>
    <t>рисунок</t>
  </si>
  <si>
    <t>Окно П + тонир.</t>
  </si>
  <si>
    <t>без шторки</t>
  </si>
  <si>
    <t>Шторка_О_2_М_3</t>
  </si>
  <si>
    <t>ДВУХ-ЦВЕТ</t>
  </si>
  <si>
    <t>накладка из Н/С</t>
  </si>
  <si>
    <t>БРОНЯ</t>
  </si>
  <si>
    <t>Броня верх.</t>
  </si>
  <si>
    <t>Броня низ</t>
  </si>
  <si>
    <t>жёлтая</t>
  </si>
  <si>
    <t>терморазрыв</t>
  </si>
  <si>
    <t>Одноцвет</t>
  </si>
  <si>
    <t>цена,р с НДС</t>
  </si>
  <si>
    <t>Цена без НДС</t>
  </si>
  <si>
    <t>белый</t>
  </si>
  <si>
    <t>пробивка</t>
  </si>
  <si>
    <t>Сл/Пв</t>
  </si>
  <si>
    <t>Кл/Кл</t>
  </si>
  <si>
    <t>Стандарт</t>
  </si>
  <si>
    <t>_1_2_мя_доборами</t>
  </si>
  <si>
    <t>_2_2_мя_доборами</t>
  </si>
  <si>
    <t>Н-1</t>
  </si>
  <si>
    <t>Н-4</t>
  </si>
  <si>
    <t>Н-6</t>
  </si>
  <si>
    <t>Н-7</t>
  </si>
  <si>
    <t>Н-8</t>
  </si>
  <si>
    <t>Н-9</t>
  </si>
  <si>
    <t>Н-10</t>
  </si>
  <si>
    <t>Н-11</t>
  </si>
  <si>
    <t>Н-14</t>
  </si>
  <si>
    <t>Н-16</t>
  </si>
  <si>
    <t>Н-17</t>
  </si>
  <si>
    <t>Н-18</t>
  </si>
  <si>
    <t>Н-19</t>
  </si>
  <si>
    <t>Н-20</t>
  </si>
  <si>
    <t>Н-21</t>
  </si>
  <si>
    <t>Н-22</t>
  </si>
  <si>
    <t>Н-23</t>
  </si>
  <si>
    <t>Н-24</t>
  </si>
  <si>
    <t>Н-26</t>
  </si>
  <si>
    <t>Н-28</t>
  </si>
  <si>
    <t>Н-29</t>
  </si>
  <si>
    <t>Н-30</t>
  </si>
  <si>
    <t>Н-31</t>
  </si>
  <si>
    <t>Н-32</t>
  </si>
  <si>
    <t>Н-37</t>
  </si>
  <si>
    <t>Н-40</t>
  </si>
  <si>
    <t>Н-41</t>
  </si>
  <si>
    <t>Н-41.3</t>
  </si>
  <si>
    <t>Н-42.1</t>
  </si>
  <si>
    <t>Н-42.2</t>
  </si>
  <si>
    <t>Н-43</t>
  </si>
  <si>
    <t>Н-44</t>
  </si>
  <si>
    <t>Н-45</t>
  </si>
  <si>
    <t>Н-46</t>
  </si>
  <si>
    <t>Н-47</t>
  </si>
  <si>
    <t>Н-48</t>
  </si>
  <si>
    <t>Н-51</t>
  </si>
  <si>
    <t>Н-52</t>
  </si>
  <si>
    <t>Н-54</t>
  </si>
  <si>
    <t>Н-55</t>
  </si>
  <si>
    <t>Н-56</t>
  </si>
  <si>
    <t>Н-57</t>
  </si>
  <si>
    <t>Н-63</t>
  </si>
  <si>
    <t>Н-64</t>
  </si>
  <si>
    <t>Н-65</t>
  </si>
  <si>
    <t>Н-66</t>
  </si>
  <si>
    <t>Н-68</t>
  </si>
  <si>
    <t>Н-99</t>
  </si>
  <si>
    <t>Н-122</t>
  </si>
  <si>
    <t>Н-135</t>
  </si>
  <si>
    <t>Н-139</t>
  </si>
  <si>
    <t>Н-145</t>
  </si>
  <si>
    <t>Kale 155 рол.</t>
  </si>
  <si>
    <t>Kale155-В рол.</t>
  </si>
  <si>
    <t>Н-43-0.3</t>
  </si>
  <si>
    <t>Н-3</t>
  </si>
  <si>
    <t>А-30.2</t>
  </si>
  <si>
    <t>Дубоясень</t>
  </si>
  <si>
    <t>увеличение наличника к порталу</t>
  </si>
  <si>
    <t>Домофон</t>
  </si>
  <si>
    <t>3 съёмных добора</t>
  </si>
  <si>
    <t>1 съёмный добор</t>
  </si>
  <si>
    <t>2 съёмных добора</t>
  </si>
  <si>
    <r>
      <t>Доборы/</t>
    </r>
    <r>
      <rPr>
        <sz val="11"/>
        <color rgb="FFFF0000"/>
        <rFont val="Calibri"/>
        <family val="2"/>
        <charset val="204"/>
        <scheme val="minor"/>
      </rPr>
      <t>съёмные</t>
    </r>
  </si>
  <si>
    <t>Съем-й добор, шт</t>
  </si>
  <si>
    <t>3 скрыт.</t>
  </si>
  <si>
    <t>№ счёта</t>
  </si>
  <si>
    <t>Эврика-3Д</t>
  </si>
  <si>
    <t>_3_Д</t>
  </si>
  <si>
    <t>Глазок</t>
  </si>
  <si>
    <t>Нет</t>
  </si>
  <si>
    <t>Окно_шт</t>
  </si>
  <si>
    <t>глазок / окна</t>
  </si>
  <si>
    <t>эл.мех.замок</t>
  </si>
  <si>
    <t>Аза-л(п)</t>
  </si>
  <si>
    <t>В-1</t>
  </si>
  <si>
    <t>В-2</t>
  </si>
  <si>
    <t>В-3</t>
  </si>
  <si>
    <t>В-4</t>
  </si>
  <si>
    <t>В-5</t>
  </si>
  <si>
    <t>ВП-1</t>
  </si>
  <si>
    <t>ВП-2</t>
  </si>
  <si>
    <t>ВП-3</t>
  </si>
  <si>
    <t>ВП-4</t>
  </si>
  <si>
    <t>Кале 152</t>
  </si>
  <si>
    <t>ВП-5</t>
  </si>
  <si>
    <t>ВП-6</t>
  </si>
  <si>
    <t>ВП-7</t>
  </si>
  <si>
    <t>ВП-8</t>
  </si>
  <si>
    <t>ВП-9</t>
  </si>
  <si>
    <t>ВП-10</t>
  </si>
  <si>
    <t>В-6</t>
  </si>
  <si>
    <t>В-7</t>
  </si>
  <si>
    <t>В-8</t>
  </si>
  <si>
    <t>В-9</t>
  </si>
  <si>
    <t>В-10</t>
  </si>
  <si>
    <t>В-11</t>
  </si>
  <si>
    <t>В-12</t>
  </si>
  <si>
    <t>В-13</t>
  </si>
  <si>
    <t>В-14</t>
  </si>
  <si>
    <t>В-15</t>
  </si>
  <si>
    <t>В-16</t>
  </si>
  <si>
    <t>В-17</t>
  </si>
  <si>
    <t>В-18</t>
  </si>
  <si>
    <t>В-19</t>
  </si>
  <si>
    <t>В-20</t>
  </si>
  <si>
    <t>ВП-7-З</t>
  </si>
  <si>
    <t>U-9 бел.</t>
  </si>
  <si>
    <t>ВК-1</t>
  </si>
  <si>
    <t>ВК-2</t>
  </si>
  <si>
    <t>ВК-3</t>
  </si>
  <si>
    <t>ВК-4</t>
  </si>
  <si>
    <t>ВК-5</t>
  </si>
  <si>
    <t>ВК-6</t>
  </si>
  <si>
    <t>ВК-7</t>
  </si>
  <si>
    <t>ВК-8</t>
  </si>
  <si>
    <t>ВК-9</t>
  </si>
  <si>
    <t>ВК-10</t>
  </si>
  <si>
    <t>ВП-11</t>
  </si>
  <si>
    <t>ВП-12</t>
  </si>
  <si>
    <t>ВП-13</t>
  </si>
  <si>
    <t>ВП-14</t>
  </si>
  <si>
    <t>ВП-15</t>
  </si>
  <si>
    <t>ВП-16</t>
  </si>
  <si>
    <t>ВП-17</t>
  </si>
  <si>
    <t>ВП-18</t>
  </si>
  <si>
    <t>ВП-19</t>
  </si>
  <si>
    <t>ВП-20</t>
  </si>
  <si>
    <t>Фанера</t>
  </si>
  <si>
    <t>Фанера снаружи</t>
  </si>
  <si>
    <t>Фанера внутри</t>
  </si>
  <si>
    <t>биометрический</t>
  </si>
  <si>
    <t>В-21</t>
  </si>
  <si>
    <t>В-22</t>
  </si>
  <si>
    <t>В-23</t>
  </si>
  <si>
    <t>В-24</t>
  </si>
  <si>
    <t>В-25</t>
  </si>
  <si>
    <t>В-26</t>
  </si>
  <si>
    <t>В-27</t>
  </si>
  <si>
    <t>В-28</t>
  </si>
  <si>
    <t>В-29</t>
  </si>
  <si>
    <t>В-30</t>
  </si>
  <si>
    <t>В-31</t>
  </si>
  <si>
    <t>В-32</t>
  </si>
  <si>
    <t>В-33</t>
  </si>
  <si>
    <t>В-34</t>
  </si>
  <si>
    <t>В-35</t>
  </si>
  <si>
    <t>В-36</t>
  </si>
  <si>
    <t>В-37</t>
  </si>
  <si>
    <t>В-38</t>
  </si>
  <si>
    <t>В-39</t>
  </si>
  <si>
    <t>В-40</t>
  </si>
  <si>
    <t>В-41</t>
  </si>
  <si>
    <t>ВП-1-О</t>
  </si>
  <si>
    <t>ВП-15+</t>
  </si>
  <si>
    <t>окраска</t>
  </si>
  <si>
    <t>_плёнка</t>
  </si>
  <si>
    <t>Окраска МДФ</t>
  </si>
  <si>
    <t>ВХ-1</t>
  </si>
  <si>
    <t>АП-35</t>
  </si>
  <si>
    <t>ЛОГО</t>
  </si>
  <si>
    <t>ЛОГО+</t>
  </si>
  <si>
    <t>Капелла</t>
  </si>
  <si>
    <t>Найс</t>
  </si>
  <si>
    <t>Капитель_</t>
  </si>
  <si>
    <t>Капитель</t>
  </si>
  <si>
    <t>Плёнка на</t>
  </si>
  <si>
    <t>капители</t>
  </si>
  <si>
    <t xml:space="preserve">Окраска </t>
  </si>
  <si>
    <t>Капители:</t>
  </si>
  <si>
    <t>группы  -</t>
  </si>
  <si>
    <t>Столбец3</t>
  </si>
  <si>
    <t>Столбец4</t>
  </si>
  <si>
    <t>Столбец5</t>
  </si>
  <si>
    <t>Столбец6</t>
  </si>
  <si>
    <t>Столбец7</t>
  </si>
  <si>
    <t>Столбец8</t>
  </si>
  <si>
    <t>группа замков</t>
  </si>
  <si>
    <t>верхних</t>
  </si>
  <si>
    <t>строка -</t>
  </si>
  <si>
    <t>Верх_1</t>
  </si>
  <si>
    <t>Верх_2</t>
  </si>
  <si>
    <t>Верх_3</t>
  </si>
  <si>
    <t>Таблица-6</t>
  </si>
  <si>
    <t>Таблица-5</t>
  </si>
  <si>
    <t>Низ_1</t>
  </si>
  <si>
    <t>Низ_2</t>
  </si>
  <si>
    <t>Таблица-8</t>
  </si>
  <si>
    <t>Таблица-9</t>
  </si>
  <si>
    <t>Низ_0</t>
  </si>
  <si>
    <t>Верх_0</t>
  </si>
  <si>
    <t>ОМДФ</t>
  </si>
  <si>
    <t>наруж.:</t>
  </si>
  <si>
    <t>Овинкожа_РФ</t>
  </si>
  <si>
    <t>Овинкожа_Индия</t>
  </si>
  <si>
    <t>МВинкожа_РФ</t>
  </si>
  <si>
    <t>МВинкожа_Индия</t>
  </si>
  <si>
    <t>Таблица-11</t>
  </si>
  <si>
    <t>Таблица-7</t>
  </si>
  <si>
    <t>Таблица-12</t>
  </si>
  <si>
    <t>внутри:</t>
  </si>
  <si>
    <t>ОДСП</t>
  </si>
  <si>
    <t>МДСП</t>
  </si>
  <si>
    <t>ММДФ_</t>
  </si>
  <si>
    <t>ОМДФ_</t>
  </si>
  <si>
    <t>Горки 0,3-1</t>
  </si>
  <si>
    <t>Горки 0,3-2</t>
  </si>
  <si>
    <t>Мегаполис</t>
  </si>
  <si>
    <t>Найс только - винорит и окраска</t>
  </si>
  <si>
    <t>Капелла (О-2,М-3):</t>
  </si>
  <si>
    <t>Найс (О-2,М-3):</t>
  </si>
  <si>
    <t>Мметалл</t>
  </si>
  <si>
    <t>1,2 мм.</t>
  </si>
  <si>
    <t>1,0 мм.</t>
  </si>
  <si>
    <t>1,5 мм.</t>
  </si>
  <si>
    <t>_металл</t>
  </si>
  <si>
    <t>О_металл</t>
  </si>
  <si>
    <t>1,0 + грунт</t>
  </si>
  <si>
    <t>1,2 + грунт</t>
  </si>
  <si>
    <t>1,5 + грунт</t>
  </si>
  <si>
    <t>1,0 мм</t>
  </si>
  <si>
    <t>Ометалл_</t>
  </si>
  <si>
    <t>Мметалл_</t>
  </si>
  <si>
    <t>Н-46-К</t>
  </si>
  <si>
    <t>ММДФ</t>
  </si>
  <si>
    <t>ВК-11</t>
  </si>
  <si>
    <t>АК-6</t>
  </si>
  <si>
    <t>ВК-12</t>
  </si>
  <si>
    <t>А-34</t>
  </si>
  <si>
    <t>А-35</t>
  </si>
  <si>
    <t>роз_нержав.</t>
  </si>
  <si>
    <t>В-3Д-1</t>
  </si>
  <si>
    <t>Матовая</t>
  </si>
  <si>
    <t>Глянцевая</t>
  </si>
  <si>
    <t>U-6 бел.</t>
  </si>
  <si>
    <t>U-6 чёрн.</t>
  </si>
  <si>
    <t>U-7 бел.</t>
  </si>
  <si>
    <t>U-7 чёрн.</t>
  </si>
  <si>
    <t>АХ-2</t>
  </si>
  <si>
    <t>Метро-3Д</t>
  </si>
  <si>
    <t>ВК-13</t>
  </si>
  <si>
    <t>ВК-14</t>
  </si>
  <si>
    <t>Металл снаружи</t>
  </si>
  <si>
    <t>ВК-15</t>
  </si>
  <si>
    <t>ВК-16-З</t>
  </si>
  <si>
    <t>ВП-14+</t>
  </si>
  <si>
    <t>ВК-16</t>
  </si>
  <si>
    <t>ВК-17</t>
  </si>
  <si>
    <t>В-42</t>
  </si>
  <si>
    <t>В-43</t>
  </si>
  <si>
    <t>ВП-2-О</t>
  </si>
  <si>
    <t>ЛАЗЕР</t>
  </si>
  <si>
    <t>У-1</t>
  </si>
  <si>
    <t>У-2</t>
  </si>
  <si>
    <t>Лев</t>
  </si>
  <si>
    <t>Лев + облака</t>
  </si>
  <si>
    <t>без лазера</t>
  </si>
  <si>
    <t>В_нержаве</t>
  </si>
  <si>
    <t>В_полотне</t>
  </si>
  <si>
    <t>Лазер</t>
  </si>
  <si>
    <t>Таблица № 1</t>
  </si>
  <si>
    <t>Материал</t>
  </si>
  <si>
    <t>Выбор</t>
  </si>
  <si>
    <t>фрез.</t>
  </si>
  <si>
    <t>лаз.</t>
  </si>
  <si>
    <t>Наименование</t>
  </si>
  <si>
    <t>фрез.\лаз.</t>
  </si>
  <si>
    <t>Микро-Термо разрыв</t>
  </si>
  <si>
    <t>В-44</t>
  </si>
  <si>
    <t>ВК-18</t>
  </si>
  <si>
    <t>ВК-19</t>
  </si>
  <si>
    <t>Апекс Т-52</t>
  </si>
  <si>
    <t>Апекс Т-57</t>
  </si>
  <si>
    <t>ПКТ</t>
  </si>
  <si>
    <t>АК-4</t>
  </si>
  <si>
    <t>АК-5</t>
  </si>
  <si>
    <t>АК-7</t>
  </si>
  <si>
    <t>АК-8</t>
  </si>
  <si>
    <t>Велло Т-42</t>
  </si>
  <si>
    <t>Vela Т-47</t>
  </si>
  <si>
    <t>Vela Т-42</t>
  </si>
  <si>
    <t>В-45</t>
  </si>
  <si>
    <t>АП-26-2</t>
  </si>
  <si>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12мм</t>
    </r>
  </si>
  <si>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12</t>
    </r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влаго</t>
    </r>
  </si>
  <si>
    <t>А-40</t>
  </si>
  <si>
    <t>ВК-20</t>
  </si>
  <si>
    <t>А-36</t>
  </si>
  <si>
    <t>А-37</t>
  </si>
  <si>
    <t>А-38</t>
  </si>
  <si>
    <t>А-39</t>
  </si>
  <si>
    <t>Силикон</t>
  </si>
  <si>
    <t>Грунт+Силикон</t>
  </si>
  <si>
    <t>АП-36</t>
  </si>
  <si>
    <t>ВК-21</t>
  </si>
  <si>
    <t>Цезарь</t>
  </si>
  <si>
    <t>В-46</t>
  </si>
  <si>
    <t>В-47</t>
  </si>
  <si>
    <t>ВК-22</t>
  </si>
  <si>
    <t>ВК-23</t>
  </si>
  <si>
    <t>ВК-24</t>
  </si>
  <si>
    <t>ВК-25</t>
  </si>
  <si>
    <t>Наличник_МДФ</t>
  </si>
  <si>
    <t>Под ПЕТЛИ</t>
  </si>
  <si>
    <t>В-48</t>
  </si>
  <si>
    <t>В-49</t>
  </si>
  <si>
    <t>В-50</t>
  </si>
  <si>
    <t>ВК-26-О</t>
  </si>
  <si>
    <t>Бланк № 1</t>
  </si>
  <si>
    <t>Бланк № 2</t>
  </si>
  <si>
    <t>Бланк № 3</t>
  </si>
  <si>
    <t>_12мм.</t>
  </si>
  <si>
    <t>В-51</t>
  </si>
  <si>
    <t>П-8.1</t>
  </si>
  <si>
    <t>ОФанера</t>
  </si>
  <si>
    <t>В-52</t>
  </si>
  <si>
    <t>ВП-3-О</t>
  </si>
  <si>
    <t>У-3</t>
  </si>
  <si>
    <t>В-53</t>
  </si>
  <si>
    <t>Верх_4</t>
  </si>
  <si>
    <t>Низ_3</t>
  </si>
  <si>
    <t>Низ_4</t>
  </si>
  <si>
    <t>Низ_5</t>
  </si>
  <si>
    <t>Низ_6</t>
  </si>
  <si>
    <t>1 (О-2)</t>
  </si>
  <si>
    <t>0 (О-1)</t>
  </si>
  <si>
    <t>Маркировка</t>
  </si>
  <si>
    <t xml:space="preserve"> П</t>
  </si>
  <si>
    <t xml:space="preserve"> - наведите смартфон, считайте QR-код для перехода на сайт</t>
  </si>
  <si>
    <t>ИМДФ</t>
  </si>
  <si>
    <t>шторка верх</t>
  </si>
  <si>
    <t>Цил.</t>
  </si>
  <si>
    <t>шторка низ</t>
  </si>
  <si>
    <t>DP-11</t>
  </si>
  <si>
    <t>накладка низ</t>
  </si>
  <si>
    <t>накладка верх</t>
  </si>
  <si>
    <t>Накладка низ</t>
  </si>
  <si>
    <t>Стандарт_</t>
  </si>
  <si>
    <t>ВП-21+</t>
  </si>
  <si>
    <t>АП-37</t>
  </si>
  <si>
    <t>ВП-22</t>
  </si>
  <si>
    <t>Волк</t>
  </si>
  <si>
    <t>МДФ_без_молд</t>
  </si>
  <si>
    <t>ММДФ_без_молд</t>
  </si>
  <si>
    <t>Изменения</t>
  </si>
  <si>
    <t>Ограничения</t>
  </si>
  <si>
    <t>поиск ошибок:</t>
  </si>
  <si>
    <t>наличие ошибки:</t>
  </si>
  <si>
    <t>Столбец -</t>
  </si>
  <si>
    <t>Окно Б</t>
  </si>
  <si>
    <t>Окно Б + реш.+тонир-ка</t>
  </si>
  <si>
    <t>Верх_5</t>
  </si>
  <si>
    <t>Столбец32</t>
  </si>
  <si>
    <t>Таблица № 15</t>
  </si>
  <si>
    <t>Ошибки по верхнему замку (лист Фурнитура, табл.15):</t>
  </si>
  <si>
    <t>Таблица № 16</t>
  </si>
  <si>
    <t>Ошибки по нижнему замку:</t>
  </si>
  <si>
    <t>Ошибки по нижнему замку (лист Фурнитура, табл.16):</t>
  </si>
  <si>
    <t>Ошибки по верхнему замку (пустая строка для О-0 и М-0):</t>
  </si>
  <si>
    <t>В-54</t>
  </si>
  <si>
    <t>В-55</t>
  </si>
  <si>
    <t>МПКТ</t>
  </si>
  <si>
    <t>внутренний МДФ ТОЛЬКО 16мм.</t>
  </si>
  <si>
    <t>Отдельно портал (откос) с наличником можно просчитать и оформить ТОЛЬКО в 1-м (верхнем) бланке.</t>
  </si>
  <si>
    <t>увеличение толщины портала</t>
  </si>
  <si>
    <t>МДФ снаружи Замена 8 мм на:</t>
  </si>
  <si>
    <t>МДФ внутри Замена 8 мм на:</t>
  </si>
  <si>
    <t>ВП-21</t>
  </si>
  <si>
    <t>В-56</t>
  </si>
  <si>
    <t>М_3ПКТвн</t>
  </si>
  <si>
    <t>М_2ПКТвн</t>
  </si>
  <si>
    <t>Бланк-1</t>
  </si>
  <si>
    <t>Ошибки по внутренней отделке (лист Плёнка,МДФ, табл.12):</t>
  </si>
  <si>
    <t>ошибки</t>
  </si>
  <si>
    <t>Ошибки по утеплителю при ПКТ (лист Материалы):</t>
  </si>
  <si>
    <t>ПКТМДФ</t>
  </si>
  <si>
    <t>3-х конт.ПКТМДФ</t>
  </si>
  <si>
    <t>3-х конт.ПКТФанера</t>
  </si>
  <si>
    <t>ПКТФанера</t>
  </si>
  <si>
    <t>3-х конт.МДФ</t>
  </si>
  <si>
    <t>3-х конт.Фанера</t>
  </si>
  <si>
    <t>3-х конт.металл</t>
  </si>
  <si>
    <t>ПКТметалл</t>
  </si>
  <si>
    <t>3-х конт.ПКТметалл</t>
  </si>
  <si>
    <t>Микро-Термо разрывметалл</t>
  </si>
  <si>
    <t>3-х конт.Микро-Термо разрывметалл</t>
  </si>
  <si>
    <t>Микро-Термо разрыв_металл</t>
  </si>
  <si>
    <t>Выбор_вн.</t>
  </si>
  <si>
    <t>Выбор_нар.</t>
  </si>
  <si>
    <t>Бланк-2</t>
  </si>
  <si>
    <t>Бланк-3</t>
  </si>
  <si>
    <t>Обез отделки</t>
  </si>
  <si>
    <t>Мбез отделки</t>
  </si>
  <si>
    <t>ВП-23</t>
  </si>
  <si>
    <t>ВП-24</t>
  </si>
  <si>
    <t>ВП-25</t>
  </si>
  <si>
    <t>ВП-26</t>
  </si>
  <si>
    <t>увеличение высоты портала</t>
  </si>
  <si>
    <t>Таблица № 13</t>
  </si>
  <si>
    <t>А-41</t>
  </si>
  <si>
    <t>А-42</t>
  </si>
  <si>
    <t>А-43</t>
  </si>
  <si>
    <t>А-44</t>
  </si>
  <si>
    <t>А-45</t>
  </si>
  <si>
    <t>АП-38</t>
  </si>
  <si>
    <t>В-57</t>
  </si>
  <si>
    <t>В-58</t>
  </si>
  <si>
    <t>М</t>
  </si>
  <si>
    <t>АП-41-з</t>
  </si>
  <si>
    <t>Спарта-5</t>
  </si>
  <si>
    <t>ВП-27</t>
  </si>
  <si>
    <t>ВП-28</t>
  </si>
  <si>
    <t>ВП-29</t>
  </si>
  <si>
    <t>05 дуб</t>
  </si>
  <si>
    <t>07 палисандр</t>
  </si>
  <si>
    <t>08 лиственница</t>
  </si>
  <si>
    <t>23 тик</t>
  </si>
  <si>
    <t>Размер двери по ширине</t>
  </si>
  <si>
    <t xml:space="preserve"> - поиск Поз.</t>
  </si>
  <si>
    <t>2-х конт.МДФ</t>
  </si>
  <si>
    <t>Размер двери по высоте</t>
  </si>
  <si>
    <t>ОМДФ_без_молд</t>
  </si>
  <si>
    <t>ОПКТ</t>
  </si>
  <si>
    <t>RALL 7024 Графит</t>
  </si>
  <si>
    <t>RALL 8017 Коричневый</t>
  </si>
  <si>
    <t>RALL 3032 Марсала</t>
  </si>
  <si>
    <t>RALL 1019 Капучино</t>
  </si>
  <si>
    <t>RALL 9001 Слоновая кость</t>
  </si>
  <si>
    <t>RALL 9003 Белая</t>
  </si>
  <si>
    <t>RALL 7044 Серая</t>
  </si>
  <si>
    <t>RALL 6028 ЗЕЛЕНЫЙ УЛЬТРАМАРИН</t>
  </si>
  <si>
    <t>Чёрный</t>
  </si>
  <si>
    <t>ВП-30</t>
  </si>
  <si>
    <t>ВП-31</t>
  </si>
  <si>
    <t>Беленый дуб</t>
  </si>
  <si>
    <t>Венге</t>
  </si>
  <si>
    <t>МДФ_О</t>
  </si>
  <si>
    <t>Гладкая_стандарт</t>
  </si>
  <si>
    <t>Гладкая_нестандарт</t>
  </si>
  <si>
    <t>DP-12</t>
  </si>
  <si>
    <t>АК-8-З</t>
  </si>
  <si>
    <t>АК-9-З</t>
  </si>
  <si>
    <t>МФанера</t>
  </si>
  <si>
    <t>ММДФ_без_молдФанера</t>
  </si>
  <si>
    <t>U-4+ бел.</t>
  </si>
  <si>
    <t>U-4+ чёрн.</t>
  </si>
  <si>
    <t>_16_влаго</t>
  </si>
  <si>
    <t>_8мм</t>
  </si>
  <si>
    <t>_8_влаго</t>
  </si>
  <si>
    <t>_12мм</t>
  </si>
  <si>
    <t>_12_влаго</t>
  </si>
  <si>
    <t>_16мм</t>
  </si>
  <si>
    <t>Высота</t>
  </si>
  <si>
    <t xml:space="preserve">  </t>
  </si>
  <si>
    <t>влагост-й</t>
  </si>
  <si>
    <t>Наружний</t>
  </si>
  <si>
    <t>Внутрений</t>
  </si>
  <si>
    <t>Материал нар.</t>
  </si>
  <si>
    <t>Таблица 19</t>
  </si>
  <si>
    <t xml:space="preserve"> + к наружнему</t>
  </si>
  <si>
    <t xml:space="preserve"> + к внутреннему</t>
  </si>
  <si>
    <t>верх.перемычка</t>
  </si>
  <si>
    <t>Увеличение ст-ти по высоте наружнего щита (Материалы, табл.19)</t>
  </si>
  <si>
    <t>Увеличение ст-ти по высоте внутреннего щита (Материалы, табл.19)</t>
  </si>
  <si>
    <t>Увеличение ст-ти при увеличении высоты двери. Наружний/внутрений щит:</t>
  </si>
  <si>
    <t>Покраска МДФ</t>
  </si>
  <si>
    <t>ИВыбор_вн.</t>
  </si>
  <si>
    <t>2-х конт.Фанера</t>
  </si>
  <si>
    <t>2-х конт.без отделки</t>
  </si>
  <si>
    <t>2-х конт.металл_</t>
  </si>
  <si>
    <t>2-х конт.Винкожа_РФ</t>
  </si>
  <si>
    <t>2-х конт.Винкожа_Индия</t>
  </si>
  <si>
    <t>2-х конт.МДФ_без_молд</t>
  </si>
  <si>
    <t>3-х конт.МДФ_без_молд</t>
  </si>
  <si>
    <t>2-х конт.ДСП</t>
  </si>
  <si>
    <t>3-х конт.ДСП</t>
  </si>
  <si>
    <t>Таблица - 17  Размер двери по ширине</t>
  </si>
  <si>
    <t>Таблица - 18  Размер двери по высоте</t>
  </si>
  <si>
    <t>Фристайл</t>
  </si>
  <si>
    <t>ВП-32</t>
  </si>
  <si>
    <t>ВП-33</t>
  </si>
  <si>
    <t>ВП-34</t>
  </si>
  <si>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10</t>
    </r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влаго</t>
    </r>
  </si>
  <si>
    <r>
      <rPr>
        <sz val="3"/>
        <color theme="1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charset val="204"/>
        <scheme val="minor"/>
      </rPr>
      <t>10мм</t>
    </r>
  </si>
  <si>
    <t>фрезер-ка нар.</t>
  </si>
  <si>
    <t>фрезер-ка внут.</t>
  </si>
  <si>
    <t>Покраска МДФ вн.</t>
  </si>
  <si>
    <t>3-х конт.без отделки</t>
  </si>
  <si>
    <t>_10мм</t>
  </si>
  <si>
    <t>_10_влаго</t>
  </si>
  <si>
    <t>ВП-31+</t>
  </si>
  <si>
    <t>В-59</t>
  </si>
  <si>
    <t>В-60</t>
  </si>
  <si>
    <t>_МДФ</t>
  </si>
  <si>
    <t>О_МДФ3-х конт.</t>
  </si>
  <si>
    <t>М_МДФ3-х конт.</t>
  </si>
  <si>
    <t>3-х конт._МДФ</t>
  </si>
  <si>
    <t>В 3-х контурной конструкции внутри могут применяться ТОЛЬКО!!! МДФ-12,-16 мм., а также фанера</t>
  </si>
  <si>
    <t>ИМДФ0</t>
  </si>
  <si>
    <t>ИМДФ_без_молд</t>
  </si>
  <si>
    <t>_15мм.</t>
  </si>
  <si>
    <t>_2_х_конт</t>
  </si>
  <si>
    <t>_3_х_конт</t>
  </si>
  <si>
    <t>ВП-34-О</t>
  </si>
  <si>
    <t>краска</t>
  </si>
  <si>
    <r>
      <t xml:space="preserve">При выборе ПКТ (Пониженный коэффициент теплопроводности), автоматически выбирается "3-х контур.","МДФ_без_молд", и утеплитель Paroc. </t>
    </r>
    <r>
      <rPr>
        <sz val="11"/>
        <color rgb="FFFF0000"/>
        <rFont val="Calibri"/>
        <family val="2"/>
        <charset val="204"/>
        <scheme val="minor"/>
      </rPr>
      <t>Другие варианты дают ошибку!</t>
    </r>
  </si>
  <si>
    <t>П-О-Е</t>
  </si>
  <si>
    <t>В-61</t>
  </si>
  <si>
    <t>ВП-4-О</t>
  </si>
  <si>
    <t>ВП-5-О</t>
  </si>
  <si>
    <t>Роса</t>
  </si>
  <si>
    <t>Велло V-2000</t>
  </si>
  <si>
    <t>AVERS_HP_72.1303</t>
  </si>
  <si>
    <t>Окно С-2</t>
  </si>
  <si>
    <t>вставка из н/с</t>
  </si>
  <si>
    <t>Окно С-1</t>
  </si>
  <si>
    <t>Окно С</t>
  </si>
  <si>
    <t>Н-33</t>
  </si>
  <si>
    <t>Н-36</t>
  </si>
  <si>
    <t>ВП-35</t>
  </si>
  <si>
    <t>Окно Б (фрезеровка ВП-1-О). Стеклопакет 390 х 1015 мм зеркально-тонированный. Решетка Б внутри стеклопакета. Окраска решётки - кузнечная краска с золотой, бронзовой или серебряной патиной.</t>
  </si>
  <si>
    <t>ИВыбор_вн.0</t>
  </si>
  <si>
    <t>графит 7024</t>
  </si>
  <si>
    <t>ОКНО СХЕМА</t>
  </si>
  <si>
    <t>Окно схема</t>
  </si>
  <si>
    <t>ВП-36-О</t>
  </si>
  <si>
    <t>Ошибка</t>
  </si>
  <si>
    <t>Ошибка-1</t>
  </si>
  <si>
    <t>Ошибка-2</t>
  </si>
  <si>
    <t>Ошибка-3</t>
  </si>
  <si>
    <t>МДФ снаружи</t>
  </si>
  <si>
    <t>МДФ внутри</t>
  </si>
  <si>
    <t>Ошибка внутренней отделки</t>
  </si>
  <si>
    <t>Плёнка наруж.</t>
  </si>
  <si>
    <t>Плёнка внутр.</t>
  </si>
  <si>
    <t>Окраска МДФ снар.</t>
  </si>
  <si>
    <t>Окраска МДФ внутр.</t>
  </si>
  <si>
    <t>Фрезеровка наруж.</t>
  </si>
  <si>
    <t>Фрезеровка внут.</t>
  </si>
  <si>
    <t>Окно</t>
  </si>
  <si>
    <t>Металл внутри</t>
  </si>
  <si>
    <t>Табл. № 2022</t>
  </si>
  <si>
    <t>Таблица № 2022 "Материалы"</t>
  </si>
  <si>
    <t>Зебрано песоч.</t>
  </si>
  <si>
    <t>зеркало_на_МДФ</t>
  </si>
  <si>
    <t>Зеркало_под_МДФ</t>
  </si>
  <si>
    <t>ВП-38</t>
  </si>
  <si>
    <t>ОКНО плёнка!!!</t>
  </si>
  <si>
    <t>2150металл</t>
  </si>
  <si>
    <t>2150_металл</t>
  </si>
  <si>
    <t>2150ДСП</t>
  </si>
  <si>
    <t>2130МДФ</t>
  </si>
  <si>
    <t>2130МДФВлаго</t>
  </si>
  <si>
    <t>2150МДФВлаго</t>
  </si>
  <si>
    <t>2130ДСП</t>
  </si>
  <si>
    <t>2130металл</t>
  </si>
  <si>
    <t>2130_металл</t>
  </si>
  <si>
    <t>2130металл_</t>
  </si>
  <si>
    <t>2150металл_</t>
  </si>
  <si>
    <t>2130Фанера</t>
  </si>
  <si>
    <t>2150Фанера</t>
  </si>
  <si>
    <t>2130без отделки</t>
  </si>
  <si>
    <t>2150без отделки</t>
  </si>
  <si>
    <t>2150Винкожа_РФ</t>
  </si>
  <si>
    <t>2150МДФ</t>
  </si>
  <si>
    <t>2150Винкожа_Индия</t>
  </si>
  <si>
    <t>2130Винкожа_РФ</t>
  </si>
  <si>
    <t>2130Винкожа_Индия</t>
  </si>
  <si>
    <t>Крит А-8</t>
  </si>
  <si>
    <t>2130</t>
  </si>
  <si>
    <t>2150</t>
  </si>
  <si>
    <t>ошибка (сняли 20/01/22)</t>
  </si>
  <si>
    <t>Скоба 300 мм</t>
  </si>
  <si>
    <t>Скоба 1200мм</t>
  </si>
  <si>
    <t xml:space="preserve">Молдинг </t>
  </si>
  <si>
    <t>аллюмин-й</t>
  </si>
  <si>
    <t>наружний</t>
  </si>
  <si>
    <t>внутрений</t>
  </si>
  <si>
    <t>МА_1</t>
  </si>
  <si>
    <t>МА_2</t>
  </si>
  <si>
    <t>МА_3</t>
  </si>
  <si>
    <t>Морион BLACK круг</t>
  </si>
  <si>
    <t>Квадрат хром</t>
  </si>
  <si>
    <t>Круг чёрн.</t>
  </si>
  <si>
    <t>Квад.чёрн.</t>
  </si>
  <si>
    <t>Vela круг чёрн.</t>
  </si>
  <si>
    <t>Fuaro квад.чёрн.</t>
  </si>
  <si>
    <t>Авт.квад.хром</t>
  </si>
  <si>
    <t>Авт.квад.чёрн</t>
  </si>
  <si>
    <t>Авт.круг.чёрн</t>
  </si>
  <si>
    <t>квад.хром</t>
  </si>
  <si>
    <t>квад.чёрн</t>
  </si>
  <si>
    <t>Квад.хром</t>
  </si>
  <si>
    <t>Круг хром</t>
  </si>
  <si>
    <t>формовка</t>
  </si>
  <si>
    <t>Техно-5</t>
  </si>
  <si>
    <t>Таблица № 14</t>
  </si>
  <si>
    <t>Квад-т хром</t>
  </si>
  <si>
    <t>Круг чёр.</t>
  </si>
  <si>
    <t>Квад-т чёрн.</t>
  </si>
  <si>
    <t>Броня квад.</t>
  </si>
  <si>
    <t>ВП-37</t>
  </si>
  <si>
    <t>МА-11 чёр.</t>
  </si>
  <si>
    <t>МА-12 чёр.</t>
  </si>
  <si>
    <t>МА-21 чёр.</t>
  </si>
  <si>
    <t>МА-22 чёр.</t>
  </si>
  <si>
    <t>МА-23 чёр.</t>
  </si>
  <si>
    <t>МА-24 чёр.</t>
  </si>
  <si>
    <t>МА-31 чёр.</t>
  </si>
  <si>
    <t>МА-32 чёр.</t>
  </si>
  <si>
    <t>МА-33 чёр.</t>
  </si>
  <si>
    <t>МА-34 чёр.</t>
  </si>
  <si>
    <t>МА-11 сер.</t>
  </si>
  <si>
    <t>МА-12 сер.</t>
  </si>
  <si>
    <t>МА-21 сер.</t>
  </si>
  <si>
    <t>МА-22 сер.</t>
  </si>
  <si>
    <t>МА-23 сер.</t>
  </si>
  <si>
    <t>МА-24 сер.</t>
  </si>
  <si>
    <t>МА-31 сер.</t>
  </si>
  <si>
    <t>МА-32 сер.</t>
  </si>
  <si>
    <t>МА-33 сер.</t>
  </si>
  <si>
    <t>МА-34 сер.</t>
  </si>
  <si>
    <t>С К Л А Д</t>
  </si>
  <si>
    <t>МА-35 сер.</t>
  </si>
  <si>
    <t>МА-35 чёр.</t>
  </si>
  <si>
    <t>ВП-36-З</t>
  </si>
  <si>
    <t>ВП-37-З</t>
  </si>
  <si>
    <t>Лайн-5</t>
  </si>
  <si>
    <t>МА-13 сер.</t>
  </si>
  <si>
    <t>МА-13 чёр.</t>
  </si>
  <si>
    <t>ВП-39</t>
  </si>
  <si>
    <t>ВП-40</t>
  </si>
  <si>
    <t>ВП-41</t>
  </si>
  <si>
    <t>МДФ внутри минимум 10 мм.</t>
  </si>
  <si>
    <t>МА-25 сер.</t>
  </si>
  <si>
    <t>МА-25 чёр.</t>
  </si>
  <si>
    <t>Fuaro V25</t>
  </si>
  <si>
    <t>Ошибки по верхнему замку</t>
  </si>
  <si>
    <t>Ошибки по нижнему замку</t>
  </si>
  <si>
    <t>АП-39</t>
  </si>
  <si>
    <t>АП-40</t>
  </si>
  <si>
    <t>МА_комб.</t>
  </si>
  <si>
    <t>фрез..</t>
  </si>
  <si>
    <t>Fuaro V25/C</t>
  </si>
  <si>
    <t>Транспорт</t>
  </si>
  <si>
    <t>Картон +</t>
  </si>
  <si>
    <t>портала</t>
  </si>
  <si>
    <t>Наличника</t>
  </si>
  <si>
    <t>дата ТТН</t>
  </si>
  <si>
    <t>В-62</t>
  </si>
  <si>
    <t>В-63</t>
  </si>
  <si>
    <t>В-64</t>
  </si>
  <si>
    <t>В-65</t>
  </si>
  <si>
    <t>В-66</t>
  </si>
  <si>
    <t>В-67</t>
  </si>
  <si>
    <t>В-68</t>
  </si>
  <si>
    <t>В-69</t>
  </si>
  <si>
    <t>ВП-42</t>
  </si>
  <si>
    <t>ВК-27</t>
  </si>
  <si>
    <t>ВК-28</t>
  </si>
  <si>
    <r>
      <t xml:space="preserve">Нижний замок Крит А-8 выбирать в бланке </t>
    </r>
    <r>
      <rPr>
        <b/>
        <sz val="11"/>
        <color rgb="FFFF0000"/>
        <rFont val="Calibri"/>
        <family val="2"/>
        <charset val="204"/>
        <scheme val="minor"/>
      </rPr>
      <t>ТОЛЬКО</t>
    </r>
    <r>
      <rPr>
        <b/>
        <sz val="11"/>
        <color theme="1"/>
        <rFont val="Calibri"/>
        <family val="2"/>
        <charset val="204"/>
        <scheme val="minor"/>
      </rPr>
      <t xml:space="preserve"> с ручкой КРИТ развёрнутой</t>
    </r>
  </si>
  <si>
    <t>МА-26 сер.</t>
  </si>
  <si>
    <t>МА-26 чёр.</t>
  </si>
  <si>
    <t>○</t>
  </si>
  <si>
    <r>
      <t xml:space="preserve">На запрос о возможности </t>
    </r>
    <r>
      <rPr>
        <sz val="11"/>
        <color rgb="FFFF0000"/>
        <rFont val="Calibri"/>
        <family val="2"/>
        <charset val="204"/>
        <scheme val="minor"/>
      </rPr>
      <t>распечатывания одного бланка</t>
    </r>
    <r>
      <rPr>
        <sz val="11"/>
        <color theme="1"/>
        <rFont val="Calibri"/>
        <family val="2"/>
        <charset val="204"/>
        <scheme val="minor"/>
      </rPr>
      <t xml:space="preserve"> для розничного покупателя даём следующий алгоритм действий:
1. в ячейку между ценой и "Верно" вводите свою розничную надбавку (1,2 - 20%, 1,3 - 30%... </t>
    </r>
    <r>
      <rPr>
        <sz val="11"/>
        <color rgb="FFFF0000"/>
        <rFont val="Calibri"/>
        <family val="2"/>
        <charset val="204"/>
        <scheme val="minor"/>
      </rPr>
      <t>-КОЭФ-ФИЦИЕНТ УСТАНАВЛИВАЕТСЯ ДЛЯ ВЕРХНЕГО БЛАНКА И РАСПРОСТРАНЯЕТСЯ НА ВСЕ БЛАНКИ-</t>
    </r>
    <r>
      <rPr>
        <sz val="11"/>
        <color theme="1"/>
        <rFont val="Calibri"/>
        <family val="2"/>
        <charset val="204"/>
        <scheme val="minor"/>
      </rPr>
      <t xml:space="preserve"> при этом появляется уведомление об изменении коэффициента - справа в жёлтой ячейке, выше надписи "прайс с...") - получаем вашу цену в валюте  </t>
    </r>
    <r>
      <rPr>
        <sz val="11"/>
        <color rgb="FFFF0000"/>
        <rFont val="Calibri"/>
        <family val="2"/>
        <charset val="204"/>
        <scheme val="minor"/>
      </rPr>
      <t>!!! При отсылке Бланка на производство, НЕ ЗАБЫВАЕМ УСТАНОВИТЬ КОЭФФИЦИЕНТ =1(единица) !!!</t>
    </r>
    <r>
      <rPr>
        <sz val="11"/>
        <color theme="1"/>
        <rFont val="Calibri"/>
        <family val="2"/>
        <charset val="204"/>
        <scheme val="minor"/>
      </rPr>
      <t>;
2. для печати нужного бланка, переходим во вкладку "Вид", выделяем "Страничный режим" - появляется область печати, выделенная синими линиями. Наведя курсором на синию линию, её можно перетянуть, образовав нужную область печати. После этого можно установить альбомную печать и распечатать бланк заказа для клиента на всю страницу.</t>
    </r>
  </si>
  <si>
    <r>
      <t xml:space="preserve">Для выбора </t>
    </r>
    <r>
      <rPr>
        <sz val="14"/>
        <color rgb="FFFF0000"/>
        <rFont val="Calibri"/>
        <family val="2"/>
        <charset val="204"/>
        <scheme val="minor"/>
      </rPr>
      <t>доборов и 2-х створки НЕОБХОДИМО</t>
    </r>
    <r>
      <rPr>
        <sz val="12"/>
        <color rgb="FFFF0000"/>
        <rFont val="Calibri"/>
        <family val="2"/>
        <charset val="204"/>
        <scheme val="minor"/>
      </rPr>
      <t xml:space="preserve"> ВЫБРАТЬ СООТВЕТСТВУЮЩУЮ СХЕМУ (см. правее бланка)</t>
    </r>
  </si>
  <si>
    <t>Шашки</t>
  </si>
  <si>
    <t>RedLine_квадрат</t>
  </si>
  <si>
    <t>FLOW_квадрат</t>
  </si>
  <si>
    <t>Редлайн чёрн.</t>
  </si>
  <si>
    <t>Флоу чёрн.</t>
  </si>
  <si>
    <t>ТOR чёрн.</t>
  </si>
  <si>
    <t>ПОЖАРКА</t>
  </si>
  <si>
    <t>АнтикГрунт+Силикон</t>
  </si>
  <si>
    <t>Табл. № 22</t>
  </si>
  <si>
    <t>Запрещается ставить двери с покраской "Антик" в дверной проём с выходом на улицу. Бланк не даст возможность одновременного выбора "Антик + Грунт+Силикон". Двери в исполнении "Антик + Грунт" и "Антик + Силикон" выписываются как ДВ2, т.е. как Двери Внутрение.</t>
  </si>
  <si>
    <t>Стандартные размеры: 800-2050 и 900-2050</t>
  </si>
  <si>
    <t>Антрацит 7016</t>
  </si>
  <si>
    <t>0</t>
  </si>
  <si>
    <t>ИВыбор_нар.</t>
  </si>
  <si>
    <t>Серая 7040</t>
  </si>
  <si>
    <t>св.серая 7035</t>
  </si>
  <si>
    <t>чёрная 9005</t>
  </si>
  <si>
    <t>нерж. 304</t>
  </si>
  <si>
    <t>ч/м краш.</t>
  </si>
  <si>
    <t>корич.8017</t>
  </si>
  <si>
    <t>корич.8019</t>
  </si>
  <si>
    <t>шагреньграфит 7024</t>
  </si>
  <si>
    <t>Schlegel</t>
  </si>
  <si>
    <t>Искра 9005-JE</t>
  </si>
  <si>
    <t>Чёрный 9005 DM</t>
  </si>
  <si>
    <t>7024 Искра</t>
  </si>
  <si>
    <t>V16-8 чёрная</t>
  </si>
  <si>
    <t>Vela Bastion кв.</t>
  </si>
  <si>
    <t>ВК-29</t>
  </si>
  <si>
    <t>MD7</t>
  </si>
  <si>
    <t>MD15</t>
  </si>
  <si>
    <t>MDP01</t>
  </si>
  <si>
    <t>MDP04</t>
  </si>
  <si>
    <t>MDP37</t>
  </si>
  <si>
    <t>MDP38</t>
  </si>
  <si>
    <t>ПВХ_DE</t>
  </si>
  <si>
    <t>ПВХ_G</t>
  </si>
  <si>
    <t>ПВХ_M</t>
  </si>
  <si>
    <t>ПВХ_MD</t>
  </si>
  <si>
    <t>ПВХ_MDP</t>
  </si>
  <si>
    <t>ПВХ_MI</t>
  </si>
  <si>
    <t>ПВХ_SAT</t>
  </si>
  <si>
    <t>ПВХ_SM</t>
  </si>
  <si>
    <t>ПВХ_STM</t>
  </si>
  <si>
    <t>внутренний</t>
  </si>
  <si>
    <t>Замена</t>
  </si>
  <si>
    <t>Заказная</t>
  </si>
  <si>
    <t>ПВХ_Заказная</t>
  </si>
  <si>
    <t>Ошибки:</t>
  </si>
  <si>
    <t>ошибка</t>
  </si>
  <si>
    <t>Арт_мат</t>
  </si>
  <si>
    <t>197А-S3P Шагрень белая</t>
  </si>
  <si>
    <t>коэф-т</t>
  </si>
  <si>
    <t>MD22 (экодуб молоч.вертикал.)</t>
  </si>
  <si>
    <t>MD14 (Дуб антик)</t>
  </si>
  <si>
    <t>MDP25 (экодуб янтарный)</t>
  </si>
  <si>
    <t>бордовая 3005</t>
  </si>
  <si>
    <t>шагреньбордовая 3005</t>
  </si>
  <si>
    <t>роз_квад_хр.</t>
  </si>
  <si>
    <t>Антискрэтч_026</t>
  </si>
  <si>
    <t>Глянец_032</t>
  </si>
  <si>
    <t>Наруж_025</t>
  </si>
  <si>
    <t>Внутр_012</t>
  </si>
  <si>
    <t>Матовая_018</t>
  </si>
  <si>
    <t>Матовая_025</t>
  </si>
  <si>
    <t>Матовая_03</t>
  </si>
  <si>
    <t>Софт_025_026</t>
  </si>
  <si>
    <t>Софт_016</t>
  </si>
  <si>
    <t>Эмаль_018</t>
  </si>
  <si>
    <t>АВ</t>
  </si>
  <si>
    <t>ЕТ</t>
  </si>
  <si>
    <t>Пост_плёнок</t>
  </si>
  <si>
    <t>ПДТ</t>
  </si>
  <si>
    <t>28 дюна Перл</t>
  </si>
  <si>
    <t>29 дюна эклипс</t>
  </si>
  <si>
    <t>30 дюна Сильвер</t>
  </si>
  <si>
    <t>31 дюна санора</t>
  </si>
  <si>
    <t>32 дюна мэдея</t>
  </si>
  <si>
    <t>33 софт Вайт</t>
  </si>
  <si>
    <t>34 софт крем</t>
  </si>
  <si>
    <t>35 софт грей</t>
  </si>
  <si>
    <t>36 софт циркон</t>
  </si>
  <si>
    <t>37 софт анис</t>
  </si>
  <si>
    <t>38 софт мокко</t>
  </si>
  <si>
    <t>39 софт Найс</t>
  </si>
  <si>
    <t>40 софт графит.</t>
  </si>
  <si>
    <t>9вайт с лаком</t>
  </si>
  <si>
    <t>1Дуб морёный</t>
  </si>
  <si>
    <t xml:space="preserve">2Дуб медовый </t>
  </si>
  <si>
    <t>3Орех грецкий</t>
  </si>
  <si>
    <t>4Дуб бежевый</t>
  </si>
  <si>
    <t>5Дуб пепельный</t>
  </si>
  <si>
    <t>6Белый</t>
  </si>
  <si>
    <t>41Графит</t>
  </si>
  <si>
    <t>7белое дерево</t>
  </si>
  <si>
    <t xml:space="preserve">8. Эмалит белый </t>
  </si>
  <si>
    <t>13 Астана милки</t>
  </si>
  <si>
    <t>14 Астана Розвуд</t>
  </si>
  <si>
    <t>15 бетон белый</t>
  </si>
  <si>
    <t>16 бетон снежный</t>
  </si>
  <si>
    <t>17 бетон бежевый</t>
  </si>
  <si>
    <t>18 бетон серый</t>
  </si>
  <si>
    <t>19 бетон графит</t>
  </si>
  <si>
    <t>21 канадский дуб плато</t>
  </si>
  <si>
    <t>22 дуб шале белый</t>
  </si>
  <si>
    <t>23 дуб шале крем</t>
  </si>
  <si>
    <t>24 дуб шале натуральн</t>
  </si>
  <si>
    <t>25 дуб шале светлый</t>
  </si>
  <si>
    <t>26 дуб шале серебро</t>
  </si>
  <si>
    <t xml:space="preserve">27 дуб шале морёный </t>
  </si>
  <si>
    <t>11Шагрень белая</t>
  </si>
  <si>
    <t>12.шагрень черная</t>
  </si>
  <si>
    <t xml:space="preserve">20. Бетон антрацит </t>
  </si>
  <si>
    <t xml:space="preserve">42. Астана Блэк горизонт </t>
  </si>
  <si>
    <t>Уличные</t>
  </si>
  <si>
    <t>Дюны</t>
  </si>
  <si>
    <t>Ева</t>
  </si>
  <si>
    <t>ПВХ_015</t>
  </si>
  <si>
    <t>ПВХ_018</t>
  </si>
  <si>
    <t>софт_032</t>
  </si>
  <si>
    <t>Эмали_лак</t>
  </si>
  <si>
    <t>10грей с лаком</t>
  </si>
  <si>
    <t>ИТОГО:</t>
  </si>
  <si>
    <t>выбор</t>
  </si>
  <si>
    <t>Шагрень_АВ</t>
  </si>
  <si>
    <t>грунт-полимер</t>
  </si>
  <si>
    <t>Грунт СФ</t>
  </si>
  <si>
    <t>СФ+Силикон</t>
  </si>
  <si>
    <t>В-70</t>
  </si>
  <si>
    <t>В-71</t>
  </si>
  <si>
    <t>В-72</t>
  </si>
  <si>
    <t>В-73</t>
  </si>
  <si>
    <t>В-74</t>
  </si>
  <si>
    <t>В-75</t>
  </si>
  <si>
    <t>В-76</t>
  </si>
  <si>
    <t>ВК-30</t>
  </si>
  <si>
    <t>ВК-31</t>
  </si>
  <si>
    <t>ВК-32</t>
  </si>
  <si>
    <t>ВП-43</t>
  </si>
  <si>
    <t>ВП-44</t>
  </si>
  <si>
    <t>АК-11</t>
  </si>
  <si>
    <t>лимиты:</t>
  </si>
  <si>
    <t>по высоте</t>
  </si>
  <si>
    <t>по ширине</t>
  </si>
  <si>
    <t>коэф-т:</t>
  </si>
  <si>
    <t>197А-11PC, Антискрэтч белая 197</t>
  </si>
  <si>
    <t>334-11PC, Антискрэтч бриз</t>
  </si>
  <si>
    <t>324-11PC, Антискрэтч ваниль</t>
  </si>
  <si>
    <t>005-11PC, Антискрэтч графит</t>
  </si>
  <si>
    <t>330-11PC, Антискрэтч крем</t>
  </si>
  <si>
    <t>380-11PC, Антискрэтч латте</t>
  </si>
  <si>
    <t>332-11PC, Антискрэтч мокрый асфальт</t>
  </si>
  <si>
    <t>331-11PC, Антискрэтч  асфальт</t>
  </si>
  <si>
    <t>327-11PC, Антискрэтч светло-серый</t>
  </si>
  <si>
    <t>335-11PC, Антискрэтч эвкалипт</t>
  </si>
  <si>
    <t>R47G, Белый глянец R1</t>
  </si>
  <si>
    <t>R55G, Белый глянец R2</t>
  </si>
  <si>
    <t>5016V, Белая (V)</t>
  </si>
  <si>
    <t>5026V, Лиственница (V)</t>
  </si>
  <si>
    <t>JD294-1-0,12, Бетон светлый F</t>
  </si>
  <si>
    <t>JD144101-110, Бетон снежный F</t>
  </si>
  <si>
    <t>3T12, Бьянко</t>
  </si>
  <si>
    <t>H4830-62, Бьянко H</t>
  </si>
  <si>
    <t>9032, Венге</t>
  </si>
  <si>
    <t>HE1305-62, Венге Н</t>
  </si>
  <si>
    <t>8012 , Венге шоколад</t>
  </si>
  <si>
    <t>9021, Дуб сонома</t>
  </si>
  <si>
    <t>123-1T, Дуб шале графит</t>
  </si>
  <si>
    <t>125-1T, Дуб шале корица</t>
  </si>
  <si>
    <t>129-1T, Дуб шале светлый</t>
  </si>
  <si>
    <t>131-1T, Дуб шале серый</t>
  </si>
  <si>
    <t>14012, Ироко</t>
  </si>
  <si>
    <t>8022 , Клен канадский</t>
  </si>
  <si>
    <t>HE1901-62, Клен канадский Н</t>
  </si>
  <si>
    <t>2032, Лиственница горная натур.</t>
  </si>
  <si>
    <t>HE1304-62, Лиственница горная натур.Н</t>
  </si>
  <si>
    <t>6182 , Лиственница светлая</t>
  </si>
  <si>
    <t>HE1501-62, Лиственница светлая Н</t>
  </si>
  <si>
    <t>2082, Сандал дымчатый</t>
  </si>
  <si>
    <t>1701-H12, Сканди классик</t>
  </si>
  <si>
    <t>A8004-H12, Сканди корица</t>
  </si>
  <si>
    <t>A8003-H12, Сканди серый</t>
  </si>
  <si>
    <t>246T-1-0,12, Старое дерево</t>
  </si>
  <si>
    <t>RB303-7P(т), Артбетон беж</t>
  </si>
  <si>
    <t>RB303-5(т), Артбетон светлый</t>
  </si>
  <si>
    <t>RB303-6P(т), Артбетон серый</t>
  </si>
  <si>
    <t>3T(т), Белое дерево</t>
  </si>
  <si>
    <t>JD294-1(т), Бетон светлый F</t>
  </si>
  <si>
    <t>JD294-3(т), Бетон серый F</t>
  </si>
  <si>
    <t>JD294-4(т), Бетон темный F</t>
  </si>
  <si>
    <t>194-7T(т), Венге светлый</t>
  </si>
  <si>
    <t>JD299-4(т), Дуб седой синхро F</t>
  </si>
  <si>
    <t>JD299-3(т), Дуб синхро F</t>
  </si>
  <si>
    <t>JD299-1(т), Дуб тобакко синхро F</t>
  </si>
  <si>
    <t>JD203-6(т), Карпатская ель F</t>
  </si>
  <si>
    <t>11GT, Акация белая</t>
  </si>
  <si>
    <t>1008b, Акация графит</t>
  </si>
  <si>
    <t>JD8294-10, Антик серебро F</t>
  </si>
  <si>
    <t>3T, Белое дерево</t>
  </si>
  <si>
    <t>JD294-1, Бетон светлый F</t>
  </si>
  <si>
    <t>JD294-4, Бетон темный F</t>
  </si>
  <si>
    <t>194-7T, Венге светлый</t>
  </si>
  <si>
    <t>JD288T, Венге серый горизонт F</t>
  </si>
  <si>
    <t>194-2T, Венге темный</t>
  </si>
  <si>
    <t>JD288-5T, Венге темный горизонт F</t>
  </si>
  <si>
    <t>JD299, Дуб классик синхро F</t>
  </si>
  <si>
    <t>JD299-2, Дуб коньяк синхро F</t>
  </si>
  <si>
    <t>RB246A, Дуб мореный</t>
  </si>
  <si>
    <t>JD299-4, Дуб седой синхро F</t>
  </si>
  <si>
    <t>JD282, Дуб сонома F</t>
  </si>
  <si>
    <t>JD299-1, Дуб тобакко синхро F</t>
  </si>
  <si>
    <t>11FT, Орех арктика</t>
  </si>
  <si>
    <t>197-S1P, Сатин белый</t>
  </si>
  <si>
    <t>9101FTR, Дуб верона</t>
  </si>
  <si>
    <t>342-S12, Шайни белый</t>
  </si>
  <si>
    <t>322GZ, Травертин лилово-бежевый</t>
  </si>
  <si>
    <t>R8029, Дуб венеция R</t>
  </si>
  <si>
    <t>RBOC51F, Пепел софт R</t>
  </si>
  <si>
    <t>R04ST, Ясень белый софт</t>
  </si>
  <si>
    <t>R26ST, Ясень графит софт</t>
  </si>
  <si>
    <t>R25ST, Ясень грей софт</t>
  </si>
  <si>
    <t>R07ST, Ясень капучино софт</t>
  </si>
  <si>
    <t>01ST(S), Белый софт</t>
  </si>
  <si>
    <t>23ST(S), Графит софт</t>
  </si>
  <si>
    <t>09ST, Грей софт</t>
  </si>
  <si>
    <t>542ST, Грин софт</t>
  </si>
  <si>
    <t>821ST, Морская волна софт</t>
  </si>
  <si>
    <t>807ST(т), Силк серый софт</t>
  </si>
  <si>
    <t>01ST(т), Белый софт</t>
  </si>
  <si>
    <t>6210-P6-0,18, Шагрень белая P6, 018</t>
  </si>
  <si>
    <t>197A-S3P, Шагрень белая, 0,25</t>
  </si>
  <si>
    <t>1950-P2-0,18, Эмаль белая</t>
  </si>
  <si>
    <t>1006-P2-0,18, Эмаль ваниль</t>
  </si>
  <si>
    <t>21-К, Вишня Форема</t>
  </si>
  <si>
    <t>шагреньзелёная</t>
  </si>
  <si>
    <t>126 дуб шале золото</t>
  </si>
  <si>
    <t>Vela V257R</t>
  </si>
  <si>
    <t>7016-ЕСО</t>
  </si>
  <si>
    <t>M03 (ясень белый текстурный 0,25-0,3)</t>
  </si>
  <si>
    <t>M57 (ясень сливочный 0,25-0,3)</t>
  </si>
  <si>
    <t>M26 (венге классический 0,25-0,3)</t>
  </si>
  <si>
    <t>M31 (шагрень белая 0,25-0,3)</t>
  </si>
  <si>
    <t>M37 (шагрень графит 0,25-0,3)</t>
  </si>
  <si>
    <t>M40 (шагрень чёрная 0,25-0,3)</t>
  </si>
  <si>
    <t>M58 (шагрень зелёная 0,25-0,3)</t>
  </si>
  <si>
    <t>MD25 (экоясень белый 0,15-0,18)</t>
  </si>
  <si>
    <t>MD10 (эковенге 0,15-0,18)</t>
  </si>
  <si>
    <t>MD11 (экодуб 0,15-0,18)</t>
  </si>
  <si>
    <t>MD35 (экошагрень графит 0,15-0,18)</t>
  </si>
  <si>
    <t>MD41 (орех темный квартирный 0,15-0,18)</t>
  </si>
  <si>
    <t>MD45 ( шагрень шоколад 0,15-0,18)</t>
  </si>
  <si>
    <t>MD58 ( шагрень зеленая 0,15-0,18)</t>
  </si>
  <si>
    <t>MD46 (экошагрень черная софт 0,15-0,18)</t>
  </si>
  <si>
    <t>MD33 (дуб темный квартирный 0,15-0,18)</t>
  </si>
  <si>
    <t>MDP15 (дуб ланцелот 0,28-0,3)</t>
  </si>
  <si>
    <t>MDP06 (серый распил 0,28-0,3)</t>
  </si>
  <si>
    <t>MDP08 (венге черно-серый распил 0,28-0,3)</t>
  </si>
  <si>
    <t>MDP18 (дуб седой 0,28-0,3)</t>
  </si>
  <si>
    <t>MDP19 (дуб полярный 0,28-0,3)</t>
  </si>
  <si>
    <t>MDP20 (дуб снежный 0,28-0,3)</t>
  </si>
  <si>
    <t>MDP21 (дуб королевский 0,28-0,3)</t>
  </si>
  <si>
    <t>MDP22 (дуб английский 0,28-0,3)</t>
  </si>
  <si>
    <t>MDP40 (распил графит 0,28-0,3)</t>
  </si>
  <si>
    <t>MDP32 (дуб лазурный 0,28-0,3)</t>
  </si>
  <si>
    <t>MDP45 (дуб вотан 0,25-0,3)</t>
  </si>
  <si>
    <t>MDP54 (дуб Сонама 0,25-0,3)</t>
  </si>
  <si>
    <t>MDP56 (дуб Йорк серый 0,25-0,3)</t>
  </si>
  <si>
    <t>MDP58 (дуб Артизан 0,25-0,3)</t>
  </si>
  <si>
    <t>MDP66 (дуб Артизан трюфель 0,25-0,3)</t>
  </si>
  <si>
    <t>MDP83 (дуб Юкон 0,25-0,3)</t>
  </si>
  <si>
    <t>MDP115 (дуб флагстафф беленый 0,25-0,3)</t>
  </si>
  <si>
    <t>MDP116 (дуб флагстафф песочный 0,25-0,3)</t>
  </si>
  <si>
    <t>MDP110 (орех пекан шоколад 0,25-0,3)</t>
  </si>
  <si>
    <t>MDP111 (орех пекан медовый 0,25-0,3)</t>
  </si>
  <si>
    <t>MDP112 (орех пекан сливочный 0,25-0,3)</t>
  </si>
  <si>
    <t>MDP120 (дуб сиена мореный 0,25-0,3)</t>
  </si>
  <si>
    <t>MDP121 (дуб сиена серый 0,25-0,3)</t>
  </si>
  <si>
    <t>MDP122 (дуб сиена белый 0,25-0,3)</t>
  </si>
  <si>
    <t>MDP 45-1 Вотан квартирный 0,15-0,18</t>
  </si>
  <si>
    <t>MDP 58-1 Артизан квартирный 0,15-0,18</t>
  </si>
  <si>
    <t>MDP 66-1 Артизан трюфель квартирный 0,15-0,18</t>
  </si>
  <si>
    <t>MDP 83-1 Юкон квартирный 0,15-0,18</t>
  </si>
  <si>
    <t>MDP70 Астана розвуд 0,15</t>
  </si>
  <si>
    <t>MDP76 Астана милки 0,15</t>
  </si>
  <si>
    <t>MDP 100 ХардВуд дымчатый 0,15-0,18</t>
  </si>
  <si>
    <t>MDP 101 ХардВуд лунный 0,15-0,18</t>
  </si>
  <si>
    <t>MDP 102 ХардВуд песочный 0,15-0,18</t>
  </si>
  <si>
    <t>MDP 103 ХардВуд белый 0,15-0,18</t>
  </si>
  <si>
    <t>MDP93 ( лиственница серая 0,12-0,15)</t>
  </si>
  <si>
    <t>MDP94 (лиственница белая 0,12-0,15)</t>
  </si>
  <si>
    <t>MDP42 (лиственница светлая 0,12-0,15)</t>
  </si>
  <si>
    <t>MDP43 (лиственница кремовая 0,12-0,15)</t>
  </si>
  <si>
    <t>MDP44 (темный орех 0,12-0,15)</t>
  </si>
  <si>
    <t>MI05 (камень темно-серый) (бетон темно-серый 0,25-0,3)</t>
  </si>
  <si>
    <t>MI07 (камень светло-серый) (бетон светло-серый 0,25-0,3)</t>
  </si>
  <si>
    <t>MI21 (мрамор белый софт 0,25-0,3)</t>
  </si>
  <si>
    <t>MI30 (мрамор серебрестый 0,25-0,3)</t>
  </si>
  <si>
    <t>MI31 (мрамор серый 0,25-0,3)</t>
  </si>
  <si>
    <t>MI32 (мрамор золотистый 0,25-0,3)</t>
  </si>
  <si>
    <t>MI33 (мрамор графитовый 0,25-0,3)</t>
  </si>
  <si>
    <t>MI34 (мрамор белый матовый 0,25-0,3)</t>
  </si>
  <si>
    <t>MI35 (травертин серый 0,25-0,3)</t>
  </si>
  <si>
    <t>MI36 (травертин доломит 0,25-0,3)</t>
  </si>
  <si>
    <t>MI37 (травертин песчаник 0,25-0,3)</t>
  </si>
  <si>
    <t>MI38 (травертин известняк 0,25-0,3)</t>
  </si>
  <si>
    <t>MI39 (травертин норд вэст 0,25-0,3)</t>
  </si>
  <si>
    <t>MI50 (бетон Монблан 0,25-0,3)</t>
  </si>
  <si>
    <t>MI55 (мрамор грей лайт 0,25-0,3)</t>
  </si>
  <si>
    <t>MI56 (мрамор грей светлый 0,25-0,3)</t>
  </si>
  <si>
    <t>MI57 (мрамор грей темный 0,25-0,3)</t>
  </si>
  <si>
    <t>MI05(камень темно серый 0,15-0,18)</t>
  </si>
  <si>
    <t>MI07 (камень светло серый 0,15-0,18)</t>
  </si>
  <si>
    <t>MI11 (бетон графит 0,15-0,18)</t>
  </si>
  <si>
    <t>MI 41 Бетон базальт 0,15-0,18</t>
  </si>
  <si>
    <t>MI 42 Бетон папирус 0,15-0,18</t>
  </si>
  <si>
    <t>MI 43 Бетон пепел 0,15-0,18</t>
  </si>
  <si>
    <t>MI 44 Бетон кварцит 0,15-0,18</t>
  </si>
  <si>
    <t>MI11 (бетон графит 0,12-0,15)</t>
  </si>
  <si>
    <t>MI13 (бетон снежный 0,12-0,15)</t>
  </si>
  <si>
    <t>SAT-04M черный жемчуг 0,25-0,3</t>
  </si>
  <si>
    <t>SAT08 белая эмаль 0,25-0,3</t>
  </si>
  <si>
    <t>SAT09 софт сливочный (9010) 0,25-0,3</t>
  </si>
  <si>
    <t>SAT10 софт белоснежный (9016) 0,25-0,3</t>
  </si>
  <si>
    <t>SAT11 софт слоновая кость 0,25-0,3</t>
  </si>
  <si>
    <t>SAT12 софт латте 0,25-0,3</t>
  </si>
  <si>
    <t>SAT13 софт капучино 0,25-0,3</t>
  </si>
  <si>
    <t>SAT14 софт серый 0,25-0,3</t>
  </si>
  <si>
    <t>SAT15 софт туманный 0,25-0,3</t>
  </si>
  <si>
    <t>SAT16 софт чёрный 0,25-0,3</t>
  </si>
  <si>
    <t>SAT18 софт вольфрамовый 0,25-0,3</t>
  </si>
  <si>
    <t>SAT21 софт шаровый 0,25-0,3</t>
  </si>
  <si>
    <t>SAT22 софт болотный 0,25-0,3</t>
  </si>
  <si>
    <t>SAT23 софт пепельный 0,25-0,3</t>
  </si>
  <si>
    <t>SAT24 софт терракотовый 0,25-0,3</t>
  </si>
  <si>
    <t>SAT25 софт лавандовый 0,25-0,3</t>
  </si>
  <si>
    <t>SAT26 софт мятный 0,25-0,3</t>
  </si>
  <si>
    <t>SAT27 софт сапфировый 0,25-0,3</t>
  </si>
  <si>
    <t>SAT28 софт лунный 0,25-0,3</t>
  </si>
  <si>
    <t>SAT29 софт ванильный 0,25-0,3</t>
  </si>
  <si>
    <t>SAT30 софт кашемир 0,25-0,3</t>
  </si>
  <si>
    <t>SAT31 софт кашемир изумрудный</t>
  </si>
  <si>
    <t>SAT32 (эко Джелато)</t>
  </si>
  <si>
    <t>SAT33 (молочный шоколад)</t>
  </si>
  <si>
    <t>SAT34 (ирландский ликер)</t>
  </si>
  <si>
    <t>SM01 белый суперматовый 0,25-0,3</t>
  </si>
  <si>
    <t>SAT 22-1 софт 0,16-0,2</t>
  </si>
  <si>
    <t>SAT10-1 софт 0,16-0,2</t>
  </si>
  <si>
    <t>SAT11-1 софт 0,16-0,2</t>
  </si>
  <si>
    <t>SAT12-1 софт 0,16-0,2</t>
  </si>
  <si>
    <t>SAT13-1 софт 0,16-0,2</t>
  </si>
  <si>
    <t>SAT14-1 софт 0,16-0,2</t>
  </si>
  <si>
    <t>SAT15-1 софт 0,16-0,2</t>
  </si>
  <si>
    <t>SAT16-1 софт 0,16-0,2</t>
  </si>
  <si>
    <t>SAT17-1 софт 0,16-0,2</t>
  </si>
  <si>
    <t>SAT18-1 софт 0,16-0,2</t>
  </si>
  <si>
    <t>SAT 21-1 софт 0,16-0,2</t>
  </si>
  <si>
    <t>STM 01 Галактика антрацит 0,15-0,25</t>
  </si>
  <si>
    <t>STM 02 Галактика бронза 0,15-0,25</t>
  </si>
  <si>
    <t>STM 03 Галактика хром 0,15-0,25</t>
  </si>
  <si>
    <t>STM 04 Галактика серебро 0,15-0,25</t>
  </si>
  <si>
    <t>ПВХ_ММ</t>
  </si>
  <si>
    <t>MM01 (Шаде Жасминовый)</t>
  </si>
  <si>
    <t>MM02 (Шаде Молочный)</t>
  </si>
  <si>
    <t>MM03 (Шаде Шампань)</t>
  </si>
  <si>
    <t>MM04 (Шаде Песочный)</t>
  </si>
  <si>
    <t>MM05 (Шаде Кварцевый)</t>
  </si>
  <si>
    <t>MM06 (Шаде Серебряный)</t>
  </si>
  <si>
    <t>MM07 (Шаде Олово)</t>
  </si>
  <si>
    <t>MM08 (Шаде Туманный)</t>
  </si>
  <si>
    <t>MM09 (Шаде Пудровый)</t>
  </si>
  <si>
    <t>MM10 (Шаде Кирпичный)</t>
  </si>
  <si>
    <t>MM11 (Шаде Шалфей)</t>
  </si>
  <si>
    <t>MM12 ( Шаде Хвойный)</t>
  </si>
  <si>
    <t>MM13 ( Велюто Верде)</t>
  </si>
  <si>
    <t>MD26 экошагрень белая 0,12</t>
  </si>
  <si>
    <t>MD40 экошагрень черная 0,12</t>
  </si>
  <si>
    <t>MDP42 лиственница светлая 0,12-0,15</t>
  </si>
  <si>
    <t>MDP43 лиственница кремовая 0,12-0,15</t>
  </si>
  <si>
    <t>MDP44 темный орех 0,12-0,15</t>
  </si>
  <si>
    <t>MDP93 лиственница серая 0,12-0,15</t>
  </si>
  <si>
    <t>MDP94 лиственница белая 0,12-0,15</t>
  </si>
  <si>
    <t>G01 белый глянец холодный 0,35</t>
  </si>
  <si>
    <t>G1-1 белый глянец тёплый 0,35</t>
  </si>
  <si>
    <t>G1-3 белый глянец тёплый 0,28</t>
  </si>
  <si>
    <t>Термо</t>
  </si>
  <si>
    <t>A8002-H12, Сканди крем</t>
  </si>
  <si>
    <t>Вита</t>
  </si>
  <si>
    <t>МДФ_10 лам.</t>
  </si>
  <si>
    <t>ОМДФ_10 лам.</t>
  </si>
  <si>
    <t>ММДФ_10 лам.</t>
  </si>
  <si>
    <t>Белый</t>
  </si>
  <si>
    <t>2150МДФ_10 лам.</t>
  </si>
  <si>
    <t>2130МДФ_10 лам.</t>
  </si>
  <si>
    <t>DE-3 = Дуб медовый (ЕТ)</t>
  </si>
  <si>
    <t>DE05  = Дуб бежевый (ЕТ)</t>
  </si>
  <si>
    <t>DE06 = Дуб пепельный (ЕТ)</t>
  </si>
  <si>
    <t>DE08 = Белый (ЕТ)</t>
  </si>
  <si>
    <t>DE09 = 41Графит (ЕТ)</t>
  </si>
  <si>
    <t>MI10 = Бетон белый (ЕТ)</t>
  </si>
  <si>
    <t>MI13 = Бетон снежный (ЕТ)</t>
  </si>
  <si>
    <t>MI04 = Бетон бежевый (ЕТ)</t>
  </si>
  <si>
    <t>MI03 = Бетон серый (ЕТ)</t>
  </si>
  <si>
    <t>Структурная</t>
  </si>
  <si>
    <t>RALL Заказчика</t>
  </si>
  <si>
    <t>коричневый 8019</t>
  </si>
  <si>
    <t>8019 Искра</t>
  </si>
  <si>
    <t>Муаркоричневый 8019</t>
  </si>
  <si>
    <t>Муар8019 Искра</t>
  </si>
  <si>
    <t>сат_хром</t>
  </si>
  <si>
    <t>сат_золото</t>
  </si>
  <si>
    <t>ТOR</t>
  </si>
  <si>
    <t>10мм. Дуб Сонома</t>
  </si>
  <si>
    <t>10мм.Яблоня Тёмная</t>
  </si>
  <si>
    <t>Коэф-т курса доллара в прайсе</t>
  </si>
  <si>
    <t>коэффициент прайса:</t>
  </si>
  <si>
    <t>Грунтовка щита МДФ</t>
  </si>
  <si>
    <t>муар7024 Искра</t>
  </si>
  <si>
    <t>В-77</t>
  </si>
  <si>
    <t>В-78</t>
  </si>
  <si>
    <t>В-79</t>
  </si>
  <si>
    <t>ВК-33</t>
  </si>
  <si>
    <t>ВК-34</t>
  </si>
  <si>
    <t>ВК-35</t>
  </si>
  <si>
    <t>ВП-45</t>
  </si>
  <si>
    <t>DE01</t>
  </si>
  <si>
    <t>DE04</t>
  </si>
  <si>
    <t>ММ20 (Шаде Персидский жемчуг)</t>
  </si>
  <si>
    <t>ММ21 (Шаде Маренго)</t>
  </si>
  <si>
    <t>Vela V252</t>
  </si>
  <si>
    <t>Vela V257L</t>
  </si>
  <si>
    <t>прайс с 14.03.25 г.</t>
  </si>
  <si>
    <t>MDP130-1 дуб мавелла голд (0,15-0,18)</t>
  </si>
  <si>
    <t>MDP131-1 дуб мавелла милк (0,15-0,18)</t>
  </si>
  <si>
    <t>MDP132-1 дуб мавелла дарк (0,15-0,18)</t>
  </si>
  <si>
    <t>MDP117 (дуб флагстафф натуральный 0,25-0,3)</t>
  </si>
  <si>
    <t>MD40 (экошагрень черная) 0,12</t>
  </si>
  <si>
    <t>MD26 (экошагрень белая 0,15-0,18)</t>
  </si>
  <si>
    <t>био</t>
  </si>
  <si>
    <t>Armadillo никель</t>
  </si>
  <si>
    <t>Никель</t>
  </si>
  <si>
    <t>Круг никель</t>
  </si>
  <si>
    <t>Круг_никель</t>
  </si>
  <si>
    <t>JDK2905-008 Шагрень чёрная F</t>
  </si>
  <si>
    <t>Mottura DP25.170</t>
  </si>
  <si>
    <t>Mottura DP58 цил.</t>
  </si>
  <si>
    <t>45/шток</t>
  </si>
  <si>
    <t>Mottura</t>
  </si>
  <si>
    <t>Сл/Пв шток</t>
  </si>
  <si>
    <t>Mottura шток</t>
  </si>
  <si>
    <t>Мottura DP58.171</t>
  </si>
  <si>
    <t>Броня никель</t>
  </si>
  <si>
    <t>роз_Arm_SQUID</t>
  </si>
  <si>
    <t>17.05.25</t>
  </si>
  <si>
    <t>Био</t>
  </si>
  <si>
    <t>кр.сат.золото</t>
  </si>
  <si>
    <t>1</t>
  </si>
  <si>
    <t>ЖЖ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</si>
</sst>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d/m;@"/>
    <numFmt numFmtId="167" formatCode="_-* #,##0.00[$р.-419]_-;\-* #,##0.00[$р.-419]_-;_-* &quot;-&quot;??[$р.-419]_-;_-@_-"/>
    <numFmt numFmtId="168" formatCode="_-* #,##0.0000&quot;р.&quot;_-;\-* #,##0.0000&quot;р.&quot;_-;_-* &quot;-&quot;????&quot;р.&quot;_-;_-@_-"/>
    <numFmt numFmtId="169" formatCode="_-[$$-409]* #,##0_ ;_-[$$-409]* \-#,##0\ ;_-[$$-409]* &quot;-&quot;_ ;_-@_ "/>
    <numFmt numFmtId="170" formatCode="dd/mm/yy;@"/>
    <numFmt numFmtId="171" formatCode="_-* #,##0&quot;р.&quot;_-;\-* #,##0&quot;р.&quot;_-;_-* &quot;-&quot;??&quot;р.&quot;_-;_-@_-"/>
    <numFmt numFmtId="172" formatCode="_-[$$-409]* #,##0.00_ ;_-[$$-409]* \-#,##0.00\ ;_-[$$-409]* &quot;-&quot;??_ ;_-@_ "/>
    <numFmt numFmtId="173" formatCode="[$-419]d\ mmm\ yy;@"/>
    <numFmt numFmtId="174" formatCode="_-* #,##0.00&quot;р.&quot;_-;\-* #,##0.00&quot;р.&quot;_-;_-* &quot;-&quot;????&quot;р.&quot;_-;_-@_-"/>
    <numFmt numFmtId="175" formatCode="_-[$$-409]* #,##0.0_ ;_-[$$-409]* \-#,##0.0\ ;_-[$$-409]* &quot;-&quot;??_ ;_-@_ "/>
  </numFmts>
  <fonts count="176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1"/>
      <color rgb="FFFFC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theme="9" tint="-0.249977111117893"/>
      <name val="Calibri"/>
      <family val="2"/>
      <charset val="204"/>
      <scheme val="minor"/>
    </font>
    <font>
      <b/>
      <sz val="11"/>
      <color theme="9" tint="-0.24997711111789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4"/>
      <color indexed="8"/>
      <name val="Calibri"/>
      <family val="2"/>
      <charset val="204"/>
    </font>
    <font>
      <u/>
      <sz val="12"/>
      <color indexed="8"/>
      <name val="Calibri"/>
      <family val="2"/>
      <charset val="204"/>
    </font>
    <font>
      <sz val="12"/>
      <color rgb="FFFF0000"/>
      <name val="Calibri"/>
      <family val="2"/>
      <charset val="204"/>
    </font>
    <font>
      <sz val="14"/>
      <color rgb="FF7030A0"/>
      <name val="Calibri"/>
      <family val="2"/>
      <charset val="204"/>
    </font>
    <font>
      <b/>
      <sz val="12"/>
      <color rgb="FF7030A0"/>
      <name val="Calibri"/>
      <family val="2"/>
      <charset val="204"/>
    </font>
    <font>
      <sz val="12"/>
      <color rgb="FF7030A0"/>
      <name val="Calibri"/>
      <family val="2"/>
      <charset val="204"/>
    </font>
    <font>
      <sz val="9"/>
      <color rgb="FF7030A0"/>
      <name val="Calibri"/>
      <family val="2"/>
      <charset val="204"/>
    </font>
    <font>
      <b/>
      <sz val="8"/>
      <color rgb="FF7030A0"/>
      <name val="Calibri"/>
      <family val="2"/>
      <charset val="204"/>
    </font>
    <font>
      <sz val="8"/>
      <color rgb="FF7030A0"/>
      <name val="Calibri"/>
      <family val="2"/>
      <charset val="204"/>
    </font>
    <font>
      <sz val="14"/>
      <name val="Calibri"/>
      <family val="2"/>
      <charset val="204"/>
    </font>
    <font>
      <u/>
      <sz val="10"/>
      <color rgb="FF7030A0"/>
      <name val="Calibri"/>
      <family val="2"/>
      <charset val="204"/>
    </font>
    <font>
      <i/>
      <sz val="13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 Light"/>
      <family val="2"/>
      <charset val="204"/>
      <scheme val="major"/>
    </font>
    <font>
      <sz val="12"/>
      <name val="Calibri"/>
      <family val="2"/>
      <charset val="204"/>
    </font>
    <font>
      <i/>
      <sz val="12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b/>
      <sz val="12"/>
      <color rgb="FFC00000"/>
      <name val="Calibri"/>
      <family val="2"/>
      <charset val="204"/>
    </font>
    <font>
      <u/>
      <sz val="12"/>
      <color rgb="FFC00000"/>
      <name val="Calibri"/>
      <family val="2"/>
      <charset val="204"/>
    </font>
    <font>
      <b/>
      <sz val="11"/>
      <color rgb="FFC00000"/>
      <name val="Calibri"/>
      <family val="2"/>
      <charset val="204"/>
    </font>
    <font>
      <b/>
      <i/>
      <sz val="12"/>
      <color rgb="FFC00000"/>
      <name val="Calibri"/>
      <family val="2"/>
      <charset val="204"/>
    </font>
    <font>
      <b/>
      <sz val="14"/>
      <color rgb="FFC00000"/>
      <name val="Calibri"/>
      <family val="2"/>
      <charset val="204"/>
    </font>
    <font>
      <b/>
      <sz val="11"/>
      <color rgb="FFC00000"/>
      <name val="Calibri"/>
      <family val="2"/>
      <charset val="204"/>
      <scheme val="minor"/>
    </font>
    <font>
      <b/>
      <sz val="14"/>
      <color rgb="FF7030A0"/>
      <name val="Calibri"/>
      <family val="2"/>
      <charset val="204"/>
    </font>
    <font>
      <b/>
      <u/>
      <sz val="12"/>
      <color rgb="FF7030A0"/>
      <name val="Calibri"/>
      <family val="2"/>
      <charset val="204"/>
    </font>
    <font>
      <b/>
      <sz val="11"/>
      <color rgb="FF7030A0"/>
      <name val="Calibri"/>
      <family val="2"/>
      <charset val="204"/>
      <scheme val="minor"/>
    </font>
    <font>
      <sz val="3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</font>
    <font>
      <b/>
      <sz val="13"/>
      <color rgb="FFC00000"/>
      <name val="Calibri"/>
      <family val="2"/>
      <charset val="204"/>
    </font>
    <font>
      <sz val="12"/>
      <color rgb="FFC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4"/>
      <color rgb="FFC00000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8"/>
      <color rgb="FF7030A0"/>
      <name val="Aparajita"/>
      <family val="2"/>
    </font>
    <font>
      <sz val="16"/>
      <color rgb="FFFF0000"/>
      <name val="Calibri"/>
      <family val="2"/>
      <charset val="204"/>
      <scheme val="minor"/>
    </font>
    <font>
      <i/>
      <sz val="14"/>
      <color rgb="FF92D050"/>
      <name val="Calibri"/>
      <family val="2"/>
      <charset val="204"/>
      <scheme val="minor"/>
    </font>
    <font>
      <b/>
      <sz val="16"/>
      <color rgb="FF00B05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u/>
      <sz val="16"/>
      <color rgb="FFC00000"/>
      <name val="Calibri"/>
      <family val="2"/>
      <charset val="204"/>
    </font>
    <font>
      <b/>
      <sz val="8"/>
      <color rgb="FF00B050"/>
      <name val="Calibri"/>
      <family val="2"/>
      <charset val="204"/>
      <scheme val="minor"/>
    </font>
    <font>
      <b/>
      <sz val="12"/>
      <color rgb="FFFFC000"/>
      <name val="Calibri"/>
      <family val="2"/>
      <charset val="204"/>
      <scheme val="minor"/>
    </font>
    <font>
      <b/>
      <sz val="11"/>
      <color theme="5" tint="-0.499984740745262"/>
      <name val="Calibri"/>
      <family val="2"/>
      <charset val="204"/>
      <scheme val="minor"/>
    </font>
    <font>
      <b/>
      <i/>
      <sz val="12"/>
      <color rgb="FFFF0000"/>
      <name val="Calibri"/>
      <family val="2"/>
      <charset val="204"/>
    </font>
    <font>
      <sz val="16"/>
      <color rgb="FF7030A0"/>
      <name val="Calibri"/>
      <family val="2"/>
      <charset val="204"/>
    </font>
    <font>
      <b/>
      <sz val="16"/>
      <color rgb="FFC00000"/>
      <name val="Calibri"/>
      <family val="2"/>
      <charset val="204"/>
    </font>
    <font>
      <u/>
      <sz val="18"/>
      <color rgb="FFC00000"/>
      <name val="Calibri"/>
      <family val="2"/>
      <charset val="204"/>
    </font>
    <font>
      <b/>
      <i/>
      <sz val="16"/>
      <color rgb="FFC00000"/>
      <name val="Calibri"/>
      <family val="2"/>
      <charset val="204"/>
    </font>
    <font>
      <b/>
      <i/>
      <sz val="13"/>
      <color rgb="FFFF0000"/>
      <name val="Calibri"/>
      <family val="2"/>
      <charset val="204"/>
    </font>
    <font>
      <u/>
      <sz val="14"/>
      <color rgb="FF7030A0"/>
      <name val="Calibri"/>
      <family val="2"/>
      <charset val="204"/>
    </font>
    <font>
      <b/>
      <sz val="16"/>
      <color rgb="FFC00000"/>
      <name val="Calibri"/>
      <family val="2"/>
      <charset val="204"/>
      <scheme val="minor"/>
    </font>
    <font>
      <b/>
      <sz val="2"/>
      <color indexed="8"/>
      <name val="Calibri"/>
      <family val="2"/>
      <charset val="204"/>
    </font>
    <font>
      <b/>
      <i/>
      <u/>
      <sz val="18"/>
      <color rgb="FF00206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i/>
      <sz val="11"/>
      <color rgb="FF7030A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color rgb="FF7030A0"/>
      <name val="Calibri"/>
      <family val="2"/>
      <charset val="204"/>
    </font>
    <font>
      <b/>
      <i/>
      <sz val="16"/>
      <color rgb="FF7030A0"/>
      <name val="Calibri"/>
      <family val="2"/>
      <charset val="204"/>
    </font>
    <font>
      <b/>
      <sz val="18"/>
      <color rgb="FFFF0000"/>
      <name val="Calibri"/>
      <family val="2"/>
      <charset val="204"/>
    </font>
    <font>
      <i/>
      <sz val="20"/>
      <name val="Calibri"/>
      <family val="2"/>
      <charset val="204"/>
      <scheme val="minor"/>
    </font>
    <font>
      <sz val="14"/>
      <color rgb="FF00B050"/>
      <name val="Calibri"/>
      <family val="2"/>
      <charset val="204"/>
    </font>
    <font>
      <b/>
      <sz val="12"/>
      <color theme="5" tint="-0.499984740745262"/>
      <name val="Calibri"/>
      <family val="2"/>
      <charset val="204"/>
      <scheme val="minor"/>
    </font>
    <font>
      <b/>
      <sz val="12"/>
      <color theme="5" tint="-0.499984740745262"/>
      <name val="Calibri"/>
      <family val="2"/>
      <charset val="204"/>
    </font>
    <font>
      <b/>
      <sz val="14"/>
      <color rgb="FF00B050"/>
      <name val="Calibri"/>
      <family val="2"/>
      <charset val="204"/>
    </font>
    <font>
      <u/>
      <sz val="14"/>
      <color theme="5" tint="-0.499984740745262"/>
      <name val="Calibri"/>
      <family val="2"/>
      <charset val="204"/>
    </font>
    <font>
      <b/>
      <sz val="13"/>
      <color rgb="FF00B050"/>
      <name val="Calibri"/>
      <family val="2"/>
      <charset val="204"/>
    </font>
    <font>
      <b/>
      <sz val="12.5"/>
      <color rgb="FF00B050"/>
      <name val="Calibri"/>
      <family val="2"/>
      <charset val="204"/>
    </font>
    <font>
      <b/>
      <sz val="14"/>
      <color theme="5" tint="-0.499984740745262"/>
      <name val="Calibri"/>
      <family val="2"/>
      <charset val="204"/>
    </font>
    <font>
      <b/>
      <sz val="13"/>
      <color theme="5" tint="-0.499984740745262"/>
      <name val="Calibri"/>
      <family val="2"/>
      <charset val="204"/>
    </font>
    <font>
      <b/>
      <sz val="13"/>
      <color theme="5" tint="-0.499984740745262"/>
      <name val="Calibri"/>
      <family val="2"/>
      <charset val="204"/>
      <scheme val="minor"/>
    </font>
    <font>
      <sz val="18"/>
      <color rgb="FFC00000"/>
      <name val="Calibri"/>
      <family val="2"/>
      <charset val="204"/>
    </font>
    <font>
      <b/>
      <sz val="13"/>
      <color rgb="FFFF0000"/>
      <name val="Calibri"/>
      <family val="2"/>
      <charset val="204"/>
    </font>
    <font>
      <b/>
      <sz val="12.5"/>
      <color rgb="FF00B050"/>
      <name val="Calibri"/>
      <family val="2"/>
      <charset val="204"/>
      <scheme val="minor"/>
    </font>
    <font>
      <b/>
      <sz val="13"/>
      <color rgb="FF00B050"/>
      <name val="Calibri"/>
      <family val="2"/>
      <charset val="204"/>
      <scheme val="minor"/>
    </font>
    <font>
      <b/>
      <sz val="12"/>
      <color rgb="FF7030A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i/>
      <sz val="12.5"/>
      <color indexed="8"/>
      <name val="Calibri"/>
      <family val="2"/>
      <charset val="204"/>
    </font>
    <font>
      <b/>
      <sz val="12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u/>
      <sz val="12"/>
      <color rgb="FFC0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rgb="FFFF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u/>
      <sz val="14"/>
      <color rgb="FF00B050"/>
      <name val="Calibri"/>
      <family val="2"/>
      <charset val="204"/>
      <scheme val="minor"/>
    </font>
    <font>
      <sz val="14"/>
      <color rgb="FF7030A0"/>
      <name val="Calibri"/>
      <family val="2"/>
      <charset val="204"/>
      <scheme val="minor"/>
    </font>
    <font>
      <u/>
      <sz val="11"/>
      <color theme="5" tint="-0.499984740745262"/>
      <name val="Calibri"/>
      <family val="2"/>
      <charset val="204"/>
      <scheme val="minor"/>
    </font>
    <font>
      <b/>
      <sz val="16"/>
      <color theme="5" tint="-0.249977111117893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rgb="FF92D050"/>
      <name val="Calibri"/>
      <family val="2"/>
      <charset val="204"/>
      <scheme val="minor"/>
    </font>
    <font>
      <b/>
      <u/>
      <sz val="14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8"/>
      <color theme="5" tint="-0.499984740745262"/>
      <name val="Calibri"/>
      <family val="2"/>
      <charset val="204"/>
    </font>
    <font>
      <u/>
      <sz val="11"/>
      <color rgb="FF7030A0"/>
      <name val="Calibri"/>
      <family val="2"/>
      <charset val="204"/>
      <scheme val="minor"/>
    </font>
    <font>
      <sz val="10"/>
      <color rgb="FF00B050"/>
      <name val="Calibri"/>
      <family val="2"/>
      <charset val="204"/>
    </font>
    <font>
      <sz val="9"/>
      <color theme="7" tint="-0.249977111117893"/>
      <name val="Calibri"/>
      <family val="2"/>
      <charset val="204"/>
    </font>
    <font>
      <b/>
      <sz val="12"/>
      <color theme="7" tint="-0.249977111117893"/>
      <name val="Calibri"/>
      <family val="2"/>
      <charset val="204"/>
    </font>
    <font>
      <b/>
      <sz val="11"/>
      <color rgb="FF00B050"/>
      <name val="Calibri"/>
      <family val="2"/>
      <charset val="204"/>
    </font>
    <font>
      <b/>
      <sz val="10"/>
      <color rgb="FFFF0000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i/>
      <sz val="18"/>
      <color rgb="FFC00000"/>
      <name val="Calibri"/>
      <family val="2"/>
      <charset val="204"/>
    </font>
    <font>
      <i/>
      <sz val="20"/>
      <color theme="0" tint="-0.49998474074526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5" tint="-0.24997711111789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rgb="FFFF5050"/>
      <name val="Calibri"/>
      <family val="2"/>
      <charset val="204"/>
      <scheme val="minor"/>
    </font>
    <font>
      <u/>
      <sz val="12"/>
      <color rgb="FF7030A0"/>
      <name val="Calibri"/>
      <family val="2"/>
      <charset val="204"/>
    </font>
    <font>
      <sz val="10"/>
      <color rgb="FFFF0000"/>
      <name val="Calibri"/>
      <family val="2"/>
      <charset val="204"/>
      <scheme val="minor"/>
    </font>
    <font>
      <b/>
      <sz val="10"/>
      <color rgb="FFC00000"/>
      <name val="Calibri"/>
      <family val="2"/>
      <charset val="204"/>
    </font>
    <font>
      <sz val="13"/>
      <color rgb="FFFF000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4"/>
      <color rgb="FFFF0000"/>
      <name val="Calibri"/>
      <family val="2"/>
      <charset val="204"/>
    </font>
    <font>
      <i/>
      <u/>
      <sz val="16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  <font>
      <b/>
      <sz val="11"/>
      <color rgb="FF00B05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2"/>
      <color rgb="FFC00000"/>
      <name val="Calibri"/>
      <family val="2"/>
      <charset val="204"/>
      <scheme val="minor"/>
    </font>
    <font>
      <b/>
      <i/>
      <sz val="14"/>
      <color rgb="FFC00000"/>
      <name val="Calibri"/>
      <family val="2"/>
      <charset val="204"/>
    </font>
    <font>
      <b/>
      <sz val="11"/>
      <color rgb="FFFFFF00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u/>
      <sz val="11"/>
      <color rgb="FFFF0000"/>
      <name val="Calibri"/>
      <family val="2"/>
      <charset val="204"/>
      <scheme val="minor"/>
    </font>
    <font>
      <sz val="11"/>
      <color theme="1"/>
      <name val="Bookman Old Style"/>
      <family val="2"/>
      <charset val="204"/>
    </font>
    <font>
      <sz val="10"/>
      <color theme="0"/>
      <name val="Bookman Old Style"/>
      <family val="1"/>
      <charset val="204"/>
    </font>
    <font>
      <sz val="11"/>
      <color theme="1"/>
      <name val="Calibri"/>
      <family val="2"/>
      <scheme val="minor"/>
    </font>
    <font>
      <b/>
      <u/>
      <sz val="10"/>
      <color theme="0"/>
      <name val="Bookman Old Style"/>
      <family val="1"/>
      <charset val="204"/>
    </font>
    <font>
      <sz val="10"/>
      <color theme="1"/>
      <name val="Bookman Old Style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Bookman Old Style"/>
      <family val="2"/>
      <charset val="204"/>
    </font>
    <font>
      <i/>
      <sz val="10"/>
      <color theme="1"/>
      <name val="Bookman Old Style"/>
      <family val="1"/>
      <charset val="204"/>
    </font>
    <font>
      <sz val="9"/>
      <color indexed="81"/>
      <name val="Tahoma"/>
      <family val="2"/>
      <charset val="204"/>
    </font>
    <font>
      <sz val="10"/>
      <color theme="1"/>
      <name val="Bookman Old Style"/>
      <family val="1"/>
      <charset val="204"/>
    </font>
    <font>
      <sz val="10"/>
      <color rgb="FFFF0000"/>
      <name val="Bookman Old Style"/>
      <family val="1"/>
      <charset val="204"/>
    </font>
    <font>
      <sz val="10"/>
      <name val="Bookman Old Style"/>
      <family val="1"/>
      <charset val="204"/>
    </font>
    <font>
      <sz val="11"/>
      <color rgb="FF7030A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.5"/>
      <color rgb="FF00B050"/>
      <name val="Carlito"/>
      <family val="2"/>
    </font>
    <font>
      <sz val="10"/>
      <color theme="1"/>
      <name val="Bookman Old Style"/>
      <family val="1"/>
      <charset val="204"/>
    </font>
    <font>
      <sz val="12"/>
      <color rgb="FF00B05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4" tint="0.39997558519241921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/>
      <diagonal/>
    </border>
    <border>
      <left/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0" fontId="159" fillId="0" borderId="0"/>
    <xf numFmtId="0" fontId="161" fillId="0" borderId="0"/>
  </cellStyleXfs>
  <cellXfs count="932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5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8" fillId="0" borderId="1" xfId="0" applyFont="1" applyBorder="1"/>
    <xf numFmtId="0" fontId="19" fillId="0" borderId="1" xfId="0" applyFont="1" applyBorder="1"/>
    <xf numFmtId="0" fontId="19" fillId="0" borderId="1" xfId="0" applyFont="1" applyFill="1" applyBorder="1"/>
    <xf numFmtId="0" fontId="20" fillId="0" borderId="1" xfId="0" applyFont="1" applyBorder="1"/>
    <xf numFmtId="0" fontId="20" fillId="0" borderId="3" xfId="0" applyFont="1" applyBorder="1"/>
    <xf numFmtId="0" fontId="10" fillId="0" borderId="7" xfId="0" applyFont="1" applyFill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29" xfId="0" applyBorder="1"/>
    <xf numFmtId="0" fontId="0" fillId="0" borderId="1" xfId="0" applyBorder="1"/>
    <xf numFmtId="0" fontId="1" fillId="0" borderId="0" xfId="0" applyFont="1"/>
    <xf numFmtId="0" fontId="0" fillId="0" borderId="29" xfId="0" applyBorder="1" applyAlignment="1">
      <alignment horizontal="left"/>
    </xf>
    <xf numFmtId="0" fontId="0" fillId="0" borderId="2" xfId="0" applyBorder="1"/>
    <xf numFmtId="0" fontId="1" fillId="0" borderId="1" xfId="0" applyFont="1" applyBorder="1"/>
    <xf numFmtId="0" fontId="0" fillId="2" borderId="1" xfId="0" applyFill="1" applyBorder="1"/>
    <xf numFmtId="0" fontId="17" fillId="0" borderId="1" xfId="0" applyFont="1" applyBorder="1"/>
    <xf numFmtId="0" fontId="0" fillId="0" borderId="1" xfId="0" applyFill="1" applyBorder="1"/>
    <xf numFmtId="0" fontId="0" fillId="0" borderId="2" xfId="0" applyFill="1" applyBorder="1"/>
    <xf numFmtId="0" fontId="8" fillId="0" borderId="0" xfId="0" applyFont="1" applyFill="1" applyAlignment="1" applyProtection="1">
      <alignment horizontal="left" vertical="center"/>
      <protection hidden="1"/>
    </xf>
    <xf numFmtId="0" fontId="0" fillId="0" borderId="30" xfId="0" applyBorder="1"/>
    <xf numFmtId="0" fontId="0" fillId="0" borderId="30" xfId="0" applyFill="1" applyBorder="1" applyAlignment="1">
      <alignment horizontal="left"/>
    </xf>
    <xf numFmtId="0" fontId="1" fillId="0" borderId="28" xfId="0" applyFont="1" applyBorder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165" fontId="0" fillId="0" borderId="1" xfId="0" applyNumberFormat="1" applyFill="1" applyBorder="1" applyAlignment="1">
      <alignment horizontal="center"/>
    </xf>
    <xf numFmtId="0" fontId="0" fillId="0" borderId="0" xfId="0" applyFill="1"/>
    <xf numFmtId="165" fontId="18" fillId="0" borderId="1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 applyProtection="1">
      <alignment vertical="center"/>
      <protection hidden="1"/>
    </xf>
    <xf numFmtId="0" fontId="10" fillId="0" borderId="12" xfId="0" applyFont="1" applyFill="1" applyBorder="1" applyAlignment="1">
      <alignment horizontal="left" vertical="center"/>
    </xf>
    <xf numFmtId="14" fontId="27" fillId="0" borderId="7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/>
    <xf numFmtId="165" fontId="0" fillId="0" borderId="29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9" xfId="0" applyFill="1" applyBorder="1" applyAlignment="1">
      <alignment vertical="center"/>
    </xf>
    <xf numFmtId="0" fontId="16" fillId="0" borderId="0" xfId="0" applyFont="1" applyFill="1" applyAlignment="1" applyProtection="1">
      <alignment horizontal="right" vertical="center"/>
      <protection hidden="1"/>
    </xf>
    <xf numFmtId="0" fontId="12" fillId="0" borderId="0" xfId="0" applyFont="1" applyFill="1" applyAlignment="1" applyProtection="1">
      <alignment horizontal="right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33" fillId="0" borderId="0" xfId="0" applyFont="1" applyFill="1" applyBorder="1" applyAlignment="1" applyProtection="1">
      <alignment horizontal="center" vertical="center"/>
      <protection hidden="1"/>
    </xf>
    <xf numFmtId="0" fontId="33" fillId="0" borderId="0" xfId="0" applyFont="1" applyFill="1" applyAlignment="1" applyProtection="1">
      <alignment vertical="center"/>
      <protection hidden="1"/>
    </xf>
    <xf numFmtId="0" fontId="10" fillId="0" borderId="15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7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23" fillId="0" borderId="0" xfId="0" applyFont="1" applyFill="1" applyBorder="1" applyAlignment="1" applyProtection="1">
      <alignment horizontal="left" vertical="center"/>
      <protection hidden="1"/>
    </xf>
    <xf numFmtId="0" fontId="10" fillId="0" borderId="12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0" xfId="0" applyFont="1" applyFill="1" applyBorder="1" applyAlignment="1" applyProtection="1">
      <alignment horizontal="right" vertical="center"/>
      <protection hidden="1"/>
    </xf>
    <xf numFmtId="0" fontId="0" fillId="2" borderId="0" xfId="0" applyFill="1" applyBorder="1" applyAlignment="1">
      <alignment horizontal="center"/>
    </xf>
    <xf numFmtId="2" fontId="8" fillId="0" borderId="20" xfId="0" applyNumberFormat="1" applyFont="1" applyFill="1" applyBorder="1" applyAlignment="1" applyProtection="1">
      <alignment horizontal="left" vertical="center"/>
      <protection hidden="1"/>
    </xf>
    <xf numFmtId="0" fontId="8" fillId="0" borderId="20" xfId="0" applyFont="1" applyFill="1" applyBorder="1" applyAlignment="1" applyProtection="1">
      <alignment horizontal="left" vertical="center"/>
      <protection hidden="1"/>
    </xf>
    <xf numFmtId="0" fontId="0" fillId="0" borderId="20" xfId="0" applyBorder="1" applyAlignment="1">
      <alignment horizontal="left"/>
    </xf>
    <xf numFmtId="0" fontId="0" fillId="0" borderId="21" xfId="0" applyFill="1" applyBorder="1"/>
    <xf numFmtId="2" fontId="0" fillId="0" borderId="20" xfId="0" applyNumberFormat="1" applyBorder="1"/>
    <xf numFmtId="0" fontId="36" fillId="0" borderId="20" xfId="0" applyFont="1" applyFill="1" applyBorder="1" applyAlignment="1" applyProtection="1">
      <alignment horizontal="left" vertical="center"/>
      <protection hidden="1"/>
    </xf>
    <xf numFmtId="0" fontId="0" fillId="2" borderId="0" xfId="0" applyFill="1" applyBorder="1"/>
    <xf numFmtId="0" fontId="29" fillId="0" borderId="31" xfId="0" applyFont="1" applyFill="1" applyBorder="1" applyAlignment="1" applyProtection="1">
      <alignment horizontal="left" vertical="center"/>
      <protection hidden="1"/>
    </xf>
    <xf numFmtId="0" fontId="25" fillId="0" borderId="11" xfId="0" applyFont="1" applyFill="1" applyBorder="1" applyAlignment="1" applyProtection="1">
      <alignment horizontal="left" vertical="center"/>
      <protection hidden="1"/>
    </xf>
    <xf numFmtId="0" fontId="32" fillId="0" borderId="7" xfId="0" applyFont="1" applyFill="1" applyBorder="1" applyAlignment="1" applyProtection="1">
      <alignment horizontal="left" vertical="center"/>
      <protection hidden="1"/>
    </xf>
    <xf numFmtId="0" fontId="28" fillId="0" borderId="0" xfId="0" applyFont="1" applyFill="1" applyBorder="1" applyAlignment="1" applyProtection="1">
      <alignment horizontal="left" vertical="center"/>
      <protection hidden="1"/>
    </xf>
    <xf numFmtId="0" fontId="30" fillId="0" borderId="7" xfId="0" applyFont="1" applyFill="1" applyBorder="1" applyAlignment="1" applyProtection="1">
      <alignment horizontal="left" vertical="center"/>
      <protection hidden="1"/>
    </xf>
    <xf numFmtId="0" fontId="0" fillId="0" borderId="29" xfId="0" applyNumberFormat="1" applyBorder="1" applyAlignment="1">
      <alignment horizontal="center"/>
    </xf>
    <xf numFmtId="49" fontId="0" fillId="0" borderId="29" xfId="0" applyNumberFormat="1" applyBorder="1" applyAlignment="1">
      <alignment horizontal="center"/>
    </xf>
    <xf numFmtId="49" fontId="0" fillId="0" borderId="30" xfId="0" applyNumberFormat="1" applyBorder="1" applyAlignment="1">
      <alignment horizontal="center"/>
    </xf>
    <xf numFmtId="0" fontId="1" fillId="0" borderId="0" xfId="0" applyFont="1" applyBorder="1"/>
    <xf numFmtId="0" fontId="0" fillId="0" borderId="1" xfId="0" applyBorder="1" applyAlignment="1">
      <alignment horizontal="center" vertical="center"/>
    </xf>
    <xf numFmtId="0" fontId="39" fillId="0" borderId="0" xfId="0" applyFont="1" applyFill="1" applyAlignment="1" applyProtection="1">
      <alignment horizontal="center" vertical="center"/>
      <protection hidden="1"/>
    </xf>
    <xf numFmtId="0" fontId="42" fillId="0" borderId="0" xfId="0" applyFont="1" applyFill="1" applyBorder="1" applyAlignment="1">
      <alignment horizontal="center" vertical="center"/>
    </xf>
    <xf numFmtId="0" fontId="0" fillId="0" borderId="28" xfId="0" applyFont="1" applyBorder="1"/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5" xfId="0" applyBorder="1"/>
    <xf numFmtId="0" fontId="7" fillId="3" borderId="4" xfId="0" applyFont="1" applyFill="1" applyBorder="1"/>
    <xf numFmtId="0" fontId="7" fillId="3" borderId="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1" fillId="0" borderId="10" xfId="0" applyFont="1" applyBorder="1"/>
    <xf numFmtId="0" fontId="0" fillId="0" borderId="11" xfId="0" applyFill="1" applyBorder="1" applyAlignment="1">
      <alignment horizontal="center" vertical="center"/>
    </xf>
    <xf numFmtId="0" fontId="0" fillId="0" borderId="30" xfId="0" applyFill="1" applyBorder="1"/>
    <xf numFmtId="0" fontId="0" fillId="0" borderId="1" xfId="0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26" fillId="0" borderId="8" xfId="0" applyFont="1" applyFill="1" applyBorder="1" applyAlignment="1" applyProtection="1">
      <alignment horizontal="left" vertical="center"/>
      <protection hidden="1"/>
    </xf>
    <xf numFmtId="0" fontId="26" fillId="0" borderId="11" xfId="0" applyFont="1" applyFill="1" applyBorder="1" applyAlignment="1" applyProtection="1">
      <alignment horizontal="left" vertical="center"/>
      <protection hidden="1"/>
    </xf>
    <xf numFmtId="0" fontId="0" fillId="0" borderId="29" xfId="0" applyFill="1" applyBorder="1"/>
    <xf numFmtId="0" fontId="0" fillId="0" borderId="0" xfId="0" applyBorder="1" applyAlignment="1">
      <alignment horizontal="right"/>
    </xf>
    <xf numFmtId="0" fontId="46" fillId="0" borderId="0" xfId="0" applyFont="1" applyFill="1" applyAlignment="1" applyProtection="1">
      <alignment horizontal="left" vertical="center"/>
      <protection hidden="1"/>
    </xf>
    <xf numFmtId="0" fontId="47" fillId="0" borderId="9" xfId="0" applyFont="1" applyFill="1" applyBorder="1" applyAlignment="1">
      <alignment vertical="center"/>
    </xf>
    <xf numFmtId="0" fontId="47" fillId="0" borderId="7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vertical="center"/>
    </xf>
    <xf numFmtId="0" fontId="0" fillId="0" borderId="29" xfId="0" applyBorder="1" applyAlignment="1">
      <alignment horizontal="center"/>
    </xf>
    <xf numFmtId="0" fontId="0" fillId="2" borderId="10" xfId="0" applyFill="1" applyBorder="1" applyAlignment="1">
      <alignment horizontal="left" vertical="center"/>
    </xf>
    <xf numFmtId="0" fontId="0" fillId="2" borderId="10" xfId="0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 applyProtection="1">
      <alignment vertical="center"/>
      <protection hidden="1"/>
    </xf>
    <xf numFmtId="0" fontId="0" fillId="0" borderId="4" xfId="0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28" xfId="0" applyFont="1" applyBorder="1" applyAlignment="1">
      <alignment vertical="center" wrapText="1"/>
    </xf>
    <xf numFmtId="0" fontId="0" fillId="0" borderId="0" xfId="0" applyFill="1" applyBorder="1"/>
    <xf numFmtId="0" fontId="0" fillId="0" borderId="1" xfId="0" applyNumberFormat="1" applyFill="1" applyBorder="1" applyAlignment="1">
      <alignment horizontal="center" vertical="center"/>
    </xf>
    <xf numFmtId="0" fontId="8" fillId="0" borderId="2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right" vertical="center"/>
      <protection hidden="1"/>
    </xf>
    <xf numFmtId="0" fontId="41" fillId="0" borderId="10" xfId="0" applyFont="1" applyFill="1" applyBorder="1" applyAlignment="1">
      <alignment vertical="center"/>
    </xf>
    <xf numFmtId="0" fontId="38" fillId="0" borderId="7" xfId="0" applyFont="1" applyFill="1" applyBorder="1" applyAlignment="1">
      <alignment vertical="center"/>
    </xf>
    <xf numFmtId="0" fontId="39" fillId="0" borderId="15" xfId="0" applyFont="1" applyFill="1" applyBorder="1" applyAlignment="1" applyProtection="1">
      <alignment vertical="center"/>
      <protection hidden="1"/>
    </xf>
    <xf numFmtId="0" fontId="12" fillId="0" borderId="4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30" fillId="0" borderId="9" xfId="0" applyFont="1" applyFill="1" applyBorder="1" applyAlignment="1" applyProtection="1">
      <alignment horizontal="left" vertical="center"/>
      <protection hidden="1"/>
    </xf>
    <xf numFmtId="0" fontId="39" fillId="0" borderId="9" xfId="0" applyFont="1" applyFill="1" applyBorder="1" applyAlignment="1">
      <alignment vertical="center" wrapText="1"/>
    </xf>
    <xf numFmtId="0" fontId="44" fillId="0" borderId="9" xfId="0" applyFont="1" applyFill="1" applyBorder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41" fillId="0" borderId="9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9" xfId="0" applyFill="1" applyBorder="1" applyAlignment="1" applyProtection="1">
      <alignment vertical="center"/>
      <protection hidden="1"/>
    </xf>
    <xf numFmtId="0" fontId="53" fillId="0" borderId="9" xfId="0" applyFont="1" applyFill="1" applyBorder="1" applyAlignment="1" applyProtection="1">
      <alignment vertical="center"/>
      <protection hidden="1"/>
    </xf>
    <xf numFmtId="0" fontId="55" fillId="0" borderId="12" xfId="0" applyFont="1" applyFill="1" applyBorder="1" applyAlignment="1">
      <alignment vertical="center"/>
    </xf>
    <xf numFmtId="0" fontId="56" fillId="0" borderId="9" xfId="0" applyFont="1" applyFill="1" applyBorder="1" applyAlignment="1" applyProtection="1">
      <alignment horizontal="left" vertical="center"/>
      <protection hidden="1"/>
    </xf>
    <xf numFmtId="165" fontId="58" fillId="0" borderId="0" xfId="0" applyNumberFormat="1" applyFont="1" applyFill="1" applyAlignment="1" applyProtection="1">
      <alignment vertical="center"/>
      <protection hidden="1"/>
    </xf>
    <xf numFmtId="165" fontId="1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43" fillId="0" borderId="0" xfId="0" applyFont="1" applyFill="1" applyBorder="1" applyAlignment="1" applyProtection="1">
      <alignment horizontal="center" vertical="center"/>
      <protection hidden="1"/>
    </xf>
    <xf numFmtId="0" fontId="39" fillId="0" borderId="0" xfId="0" applyFont="1" applyFill="1" applyBorder="1" applyAlignment="1" applyProtection="1">
      <alignment horizontal="center" vertical="center"/>
      <protection hidden="1"/>
    </xf>
    <xf numFmtId="0" fontId="60" fillId="0" borderId="0" xfId="0" applyFont="1" applyFill="1" applyAlignment="1" applyProtection="1">
      <alignment vertical="center"/>
      <protection hidden="1"/>
    </xf>
    <xf numFmtId="0" fontId="38" fillId="0" borderId="9" xfId="0" applyFont="1" applyFill="1" applyBorder="1" applyAlignment="1">
      <alignment vertical="center"/>
    </xf>
    <xf numFmtId="0" fontId="62" fillId="0" borderId="0" xfId="0" applyFont="1" applyFill="1" applyAlignment="1" applyProtection="1">
      <alignment vertical="center"/>
      <protection hidden="1"/>
    </xf>
    <xf numFmtId="0" fontId="51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>
      <alignment vertical="center"/>
    </xf>
    <xf numFmtId="0" fontId="45" fillId="0" borderId="0" xfId="0" applyFont="1" applyFill="1" applyBorder="1" applyAlignment="1" applyProtection="1">
      <alignment horizontal="left" vertical="center"/>
      <protection hidden="1"/>
    </xf>
    <xf numFmtId="0" fontId="0" fillId="0" borderId="1" xfId="0" applyBorder="1" applyAlignment="1">
      <alignment horizontal="center" vertical="center"/>
    </xf>
    <xf numFmtId="0" fontId="0" fillId="0" borderId="30" xfId="0" applyNumberFormat="1" applyBorder="1" applyAlignment="1">
      <alignment horizontal="center"/>
    </xf>
    <xf numFmtId="0" fontId="0" fillId="4" borderId="1" xfId="0" applyFont="1" applyFill="1" applyBorder="1"/>
    <xf numFmtId="0" fontId="0" fillId="0" borderId="0" xfId="0" applyFont="1" applyFill="1" applyBorder="1"/>
    <xf numFmtId="49" fontId="52" fillId="0" borderId="10" xfId="0" applyNumberFormat="1" applyFont="1" applyFill="1" applyBorder="1" applyAlignment="1" applyProtection="1">
      <alignment horizontal="center" vertical="center"/>
      <protection locked="0" hidden="1"/>
    </xf>
    <xf numFmtId="0" fontId="43" fillId="0" borderId="12" xfId="0" applyFont="1" applyFill="1" applyBorder="1" applyAlignment="1" applyProtection="1">
      <alignment vertical="center"/>
      <protection locked="0" hidden="1"/>
    </xf>
    <xf numFmtId="0" fontId="38" fillId="0" borderId="9" xfId="0" applyFont="1" applyFill="1" applyBorder="1" applyAlignment="1" applyProtection="1">
      <alignment vertical="center"/>
      <protection locked="0" hidden="1"/>
    </xf>
    <xf numFmtId="0" fontId="44" fillId="0" borderId="9" xfId="0" applyFont="1" applyFill="1" applyBorder="1" applyAlignment="1" applyProtection="1">
      <alignment vertical="center"/>
      <protection locked="0" hidden="1"/>
    </xf>
    <xf numFmtId="0" fontId="39" fillId="0" borderId="9" xfId="0" applyFont="1" applyFill="1" applyBorder="1" applyAlignment="1" applyProtection="1">
      <alignment vertical="center"/>
      <protection locked="0" hidden="1"/>
    </xf>
    <xf numFmtId="0" fontId="38" fillId="0" borderId="10" xfId="0" applyFont="1" applyFill="1" applyBorder="1" applyAlignment="1" applyProtection="1">
      <alignment vertical="center"/>
      <protection locked="0" hidden="1"/>
    </xf>
    <xf numFmtId="0" fontId="10" fillId="0" borderId="7" xfId="0" applyFont="1" applyFill="1" applyBorder="1" applyAlignment="1" applyProtection="1">
      <alignment horizontal="left" vertical="center"/>
      <protection locked="0"/>
    </xf>
    <xf numFmtId="0" fontId="27" fillId="0" borderId="13" xfId="0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Fill="1" applyBorder="1" applyAlignment="1" applyProtection="1">
      <alignment vertical="center"/>
      <protection hidden="1"/>
    </xf>
    <xf numFmtId="0" fontId="22" fillId="0" borderId="0" xfId="0" applyFont="1" applyFill="1" applyBorder="1" applyAlignment="1" applyProtection="1">
      <alignment horizontal="right" vertical="center" wrapText="1"/>
      <protection hidden="1"/>
    </xf>
    <xf numFmtId="0" fontId="44" fillId="0" borderId="9" xfId="0" applyFont="1" applyFill="1" applyBorder="1" applyAlignment="1" applyProtection="1">
      <alignment vertical="center"/>
      <protection hidden="1"/>
    </xf>
    <xf numFmtId="0" fontId="2" fillId="0" borderId="9" xfId="0" applyFont="1" applyFill="1" applyBorder="1" applyAlignment="1" applyProtection="1">
      <alignment vertical="center"/>
      <protection hidden="1"/>
    </xf>
    <xf numFmtId="0" fontId="0" fillId="0" borderId="0" xfId="0" applyFill="1" applyAlignment="1" applyProtection="1">
      <alignment vertical="center"/>
    </xf>
    <xf numFmtId="0" fontId="54" fillId="0" borderId="0" xfId="0" applyFont="1" applyFill="1" applyAlignment="1" applyProtection="1">
      <alignment vertical="center"/>
    </xf>
    <xf numFmtId="0" fontId="57" fillId="0" borderId="0" xfId="0" applyFont="1" applyFill="1" applyAlignment="1" applyProtection="1">
      <alignment vertical="center"/>
    </xf>
    <xf numFmtId="0" fontId="45" fillId="0" borderId="0" xfId="0" applyFont="1" applyFill="1" applyBorder="1" applyAlignment="1" applyProtection="1">
      <alignment vertical="center"/>
    </xf>
    <xf numFmtId="0" fontId="3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3" fillId="0" borderId="0" xfId="0" applyFont="1" applyFill="1" applyBorder="1" applyAlignment="1" applyProtection="1">
      <alignment horizontal="center" vertical="center"/>
    </xf>
    <xf numFmtId="0" fontId="51" fillId="0" borderId="0" xfId="0" applyFont="1" applyFill="1" applyBorder="1" applyAlignment="1" applyProtection="1">
      <alignment horizontal="center" vertical="center" wrapText="1"/>
    </xf>
    <xf numFmtId="0" fontId="40" fillId="0" borderId="0" xfId="0" applyFont="1" applyFill="1" applyBorder="1" applyAlignment="1" applyProtection="1">
      <alignment vertical="center" wrapText="1"/>
    </xf>
    <xf numFmtId="0" fontId="38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5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vertical="center"/>
    </xf>
    <xf numFmtId="0" fontId="29" fillId="0" borderId="14" xfId="0" applyFont="1" applyFill="1" applyBorder="1" applyAlignment="1" applyProtection="1">
      <alignment vertical="center"/>
      <protection hidden="1"/>
    </xf>
    <xf numFmtId="0" fontId="30" fillId="0" borderId="11" xfId="0" applyFont="1" applyFill="1" applyBorder="1" applyAlignment="1" applyProtection="1">
      <alignment horizontal="left" vertical="center"/>
      <protection hidden="1"/>
    </xf>
    <xf numFmtId="0" fontId="0" fillId="0" borderId="11" xfId="0" applyBorder="1" applyProtection="1">
      <protection locked="0" hidden="1"/>
    </xf>
    <xf numFmtId="0" fontId="0" fillId="0" borderId="13" xfId="0" applyBorder="1" applyProtection="1">
      <protection locked="0" hidden="1"/>
    </xf>
    <xf numFmtId="0" fontId="0" fillId="0" borderId="16" xfId="0" applyBorder="1" applyProtection="1">
      <protection locked="0" hidden="1"/>
    </xf>
    <xf numFmtId="0" fontId="0" fillId="0" borderId="0" xfId="0" applyBorder="1" applyProtection="1">
      <protection locked="0" hidden="1"/>
    </xf>
    <xf numFmtId="0" fontId="0" fillId="0" borderId="31" xfId="0" applyBorder="1" applyProtection="1">
      <protection locked="0" hidden="1"/>
    </xf>
    <xf numFmtId="0" fontId="1" fillId="0" borderId="0" xfId="0" applyFont="1" applyFill="1" applyBorder="1" applyAlignment="1" applyProtection="1">
      <alignment vertical="center"/>
      <protection locked="0" hidden="1"/>
    </xf>
    <xf numFmtId="0" fontId="49" fillId="0" borderId="0" xfId="0" applyFont="1" applyBorder="1" applyProtection="1">
      <protection locked="0" hidden="1"/>
    </xf>
    <xf numFmtId="0" fontId="8" fillId="0" borderId="0" xfId="0" applyFont="1" applyFill="1" applyBorder="1" applyAlignment="1">
      <alignment horizontal="left" vertical="center"/>
    </xf>
    <xf numFmtId="0" fontId="63" fillId="0" borderId="1" xfId="0" applyFont="1" applyFill="1" applyBorder="1" applyAlignment="1">
      <alignment horizontal="center" vertical="center"/>
    </xf>
    <xf numFmtId="0" fontId="45" fillId="0" borderId="8" xfId="0" applyFont="1" applyFill="1" applyBorder="1" applyAlignment="1" applyProtection="1">
      <alignment horizontal="left" vertical="center"/>
      <protection hidden="1"/>
    </xf>
    <xf numFmtId="0" fontId="35" fillId="0" borderId="0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62" fillId="0" borderId="0" xfId="0" applyFont="1" applyFill="1" applyAlignment="1" applyProtection="1">
      <alignment vertical="center"/>
      <protection locked="0" hidden="1"/>
    </xf>
    <xf numFmtId="0" fontId="0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43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left" vertical="center" indent="3"/>
    </xf>
    <xf numFmtId="0" fontId="0" fillId="0" borderId="0" xfId="0" applyFill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/>
    </xf>
    <xf numFmtId="0" fontId="65" fillId="0" borderId="10" xfId="0" applyFont="1" applyFill="1" applyBorder="1" applyAlignment="1" applyProtection="1">
      <alignment vertical="center" wrapText="1"/>
      <protection hidden="1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67" fillId="0" borderId="1" xfId="0" applyFont="1" applyFill="1" applyBorder="1" applyAlignment="1" applyProtection="1">
      <alignment horizontal="center" vertical="center"/>
      <protection locked="0"/>
    </xf>
    <xf numFmtId="0" fontId="69" fillId="0" borderId="0" xfId="0" applyFont="1" applyFill="1" applyBorder="1" applyAlignment="1" applyProtection="1">
      <alignment horizontal="left" vertical="center"/>
      <protection locked="0" hidden="1"/>
    </xf>
    <xf numFmtId="0" fontId="70" fillId="0" borderId="9" xfId="0" applyFont="1" applyFill="1" applyBorder="1" applyAlignment="1" applyProtection="1">
      <alignment vertical="center" wrapText="1"/>
      <protection locked="0"/>
    </xf>
    <xf numFmtId="0" fontId="71" fillId="0" borderId="0" xfId="0" applyFont="1" applyFill="1" applyAlignment="1" applyProtection="1">
      <alignment horizontal="left" vertical="center"/>
      <protection hidden="1"/>
    </xf>
    <xf numFmtId="0" fontId="67" fillId="0" borderId="0" xfId="0" applyFont="1" applyFill="1" applyAlignment="1" applyProtection="1">
      <alignment vertical="center"/>
      <protection locked="0" hidden="1"/>
    </xf>
    <xf numFmtId="0" fontId="25" fillId="0" borderId="0" xfId="0" applyFont="1" applyFill="1" applyAlignment="1" applyProtection="1">
      <alignment horizontal="left" vertical="center"/>
      <protection hidden="1"/>
    </xf>
    <xf numFmtId="0" fontId="72" fillId="0" borderId="7" xfId="0" applyFont="1" applyFill="1" applyBorder="1" applyAlignment="1" applyProtection="1">
      <alignment vertical="center"/>
      <protection locked="0" hidden="1"/>
    </xf>
    <xf numFmtId="0" fontId="67" fillId="0" borderId="0" xfId="0" applyFont="1" applyFill="1" applyAlignment="1" applyProtection="1">
      <alignment horizontal="left" vertical="center"/>
      <protection locked="0" hidden="1"/>
    </xf>
    <xf numFmtId="0" fontId="73" fillId="0" borderId="0" xfId="0" applyFont="1" applyFill="1" applyAlignment="1" applyProtection="1">
      <alignment horizontal="left" vertical="center"/>
      <protection hidden="1"/>
    </xf>
    <xf numFmtId="0" fontId="54" fillId="0" borderId="9" xfId="0" applyFont="1" applyFill="1" applyBorder="1" applyAlignment="1" applyProtection="1">
      <alignment vertical="center"/>
      <protection locked="0" hidden="1"/>
    </xf>
    <xf numFmtId="0" fontId="72" fillId="0" borderId="9" xfId="0" applyFont="1" applyFill="1" applyBorder="1" applyAlignment="1" applyProtection="1">
      <alignment vertical="center"/>
      <protection locked="0" hidden="1"/>
    </xf>
    <xf numFmtId="0" fontId="0" fillId="0" borderId="1" xfId="0" applyBorder="1" applyAlignment="1">
      <alignment horizontal="center" vertical="center"/>
    </xf>
    <xf numFmtId="0" fontId="76" fillId="0" borderId="0" xfId="0" applyFont="1" applyBorder="1"/>
    <xf numFmtId="0" fontId="75" fillId="5" borderId="0" xfId="0" applyFont="1" applyFill="1" applyAlignment="1">
      <alignment vertical="center"/>
    </xf>
    <xf numFmtId="0" fontId="77" fillId="5" borderId="0" xfId="0" applyFont="1" applyFill="1" applyAlignment="1">
      <alignment vertical="center"/>
    </xf>
    <xf numFmtId="0" fontId="38" fillId="0" borderId="8" xfId="0" applyFont="1" applyFill="1" applyBorder="1" applyAlignment="1" applyProtection="1">
      <alignment vertical="center"/>
      <protection locked="0" hidden="1"/>
    </xf>
    <xf numFmtId="0" fontId="31" fillId="0" borderId="1" xfId="0" applyFont="1" applyFill="1" applyBorder="1" applyAlignment="1" applyProtection="1">
      <alignment horizontal="left" vertical="center" indent="2"/>
      <protection locked="0" hidden="1"/>
    </xf>
    <xf numFmtId="0" fontId="80" fillId="0" borderId="0" xfId="0" applyFont="1" applyFill="1" applyAlignment="1" applyProtection="1">
      <alignment horizontal="left" vertical="center"/>
      <protection locked="0" hidden="1"/>
    </xf>
    <xf numFmtId="0" fontId="83" fillId="0" borderId="1" xfId="0" applyFont="1" applyFill="1" applyBorder="1" applyAlignment="1" applyProtection="1">
      <alignment horizontal="center" vertical="center"/>
      <protection locked="0" hidden="1"/>
    </xf>
    <xf numFmtId="0" fontId="84" fillId="0" borderId="9" xfId="0" applyFont="1" applyFill="1" applyBorder="1" applyAlignment="1">
      <alignment vertical="center"/>
    </xf>
    <xf numFmtId="0" fontId="86" fillId="0" borderId="0" xfId="0" applyFont="1" applyFill="1" applyAlignment="1" applyProtection="1">
      <alignment vertical="center"/>
      <protection locked="0"/>
    </xf>
    <xf numFmtId="0" fontId="86" fillId="0" borderId="8" xfId="0" applyFont="1" applyFill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45" fillId="0" borderId="16" xfId="0" applyFont="1" applyFill="1" applyBorder="1" applyAlignment="1" applyProtection="1">
      <alignment horizontal="left" vertical="center"/>
      <protection hidden="1"/>
    </xf>
    <xf numFmtId="0" fontId="88" fillId="0" borderId="13" xfId="0" applyFont="1" applyFill="1" applyBorder="1" applyAlignment="1" applyProtection="1">
      <alignment vertical="center"/>
      <protection locked="0"/>
    </xf>
    <xf numFmtId="0" fontId="92" fillId="0" borderId="9" xfId="0" applyFont="1" applyFill="1" applyBorder="1" applyAlignment="1" applyProtection="1">
      <alignment vertical="center"/>
      <protection locked="0" hidden="1"/>
    </xf>
    <xf numFmtId="0" fontId="91" fillId="0" borderId="9" xfId="0" applyFont="1" applyFill="1" applyBorder="1" applyAlignment="1" applyProtection="1">
      <alignment vertical="center" wrapText="1"/>
      <protection locked="0"/>
    </xf>
    <xf numFmtId="0" fontId="87" fillId="0" borderId="0" xfId="0" applyFont="1" applyFill="1" applyBorder="1" applyAlignment="1" applyProtection="1">
      <alignment horizontal="center" vertical="center" wrapText="1"/>
      <protection locked="0"/>
    </xf>
    <xf numFmtId="0" fontId="87" fillId="0" borderId="31" xfId="0" applyFont="1" applyFill="1" applyBorder="1" applyAlignment="1" applyProtection="1">
      <alignment horizontal="left" vertical="center" wrapText="1"/>
      <protection locked="0"/>
    </xf>
    <xf numFmtId="0" fontId="94" fillId="0" borderId="0" xfId="0" applyFont="1" applyFill="1" applyBorder="1" applyAlignment="1" applyProtection="1">
      <alignment horizontal="center" vertical="center" wrapText="1"/>
    </xf>
    <xf numFmtId="0" fontId="51" fillId="0" borderId="1" xfId="0" applyFont="1" applyFill="1" applyBorder="1" applyAlignment="1" applyProtection="1">
      <alignment horizontal="center" vertical="center" wrapText="1"/>
      <protection locked="0"/>
    </xf>
    <xf numFmtId="0" fontId="88" fillId="0" borderId="1" xfId="0" applyFont="1" applyFill="1" applyBorder="1" applyAlignment="1" applyProtection="1">
      <alignment horizontal="left" vertical="center" wrapText="1"/>
      <protection locked="0" hidden="1"/>
    </xf>
    <xf numFmtId="165" fontId="86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0" fillId="0" borderId="1" xfId="0" applyBorder="1" applyAlignment="1">
      <alignment horizontal="center" vertical="center"/>
    </xf>
    <xf numFmtId="0" fontId="97" fillId="0" borderId="0" xfId="0" applyFont="1" applyFill="1" applyBorder="1" applyAlignment="1">
      <alignment vertical="center"/>
    </xf>
    <xf numFmtId="0" fontId="2" fillId="0" borderId="0" xfId="0" applyFont="1" applyBorder="1"/>
    <xf numFmtId="0" fontId="72" fillId="0" borderId="0" xfId="0" applyFont="1" applyFill="1" applyAlignment="1" applyProtection="1">
      <alignment horizontal="center" vertical="center"/>
      <protection locked="0" hidden="1"/>
    </xf>
    <xf numFmtId="165" fontId="98" fillId="0" borderId="0" xfId="0" applyNumberFormat="1" applyFont="1" applyFill="1" applyBorder="1" applyAlignment="1" applyProtection="1">
      <alignment vertical="center"/>
      <protection hidden="1"/>
    </xf>
    <xf numFmtId="165" fontId="99" fillId="0" borderId="0" xfId="0" applyNumberFormat="1" applyFont="1" applyFill="1" applyBorder="1" applyAlignment="1" applyProtection="1">
      <alignment vertical="center"/>
      <protection hidden="1"/>
    </xf>
    <xf numFmtId="0" fontId="100" fillId="0" borderId="0" xfId="0" applyFont="1" applyFill="1" applyAlignment="1" applyProtection="1">
      <alignment horizontal="right" vertical="center"/>
      <protection hidden="1"/>
    </xf>
    <xf numFmtId="0" fontId="25" fillId="0" borderId="12" xfId="0" applyFont="1" applyFill="1" applyBorder="1" applyAlignment="1" applyProtection="1">
      <alignment horizontal="left" vertical="center" indent="3"/>
      <protection hidden="1"/>
    </xf>
    <xf numFmtId="0" fontId="25" fillId="0" borderId="0" xfId="0" applyFont="1" applyFill="1" applyAlignment="1" applyProtection="1">
      <alignment horizontal="left" vertical="center" indent="2"/>
      <protection hidden="1"/>
    </xf>
    <xf numFmtId="0" fontId="45" fillId="0" borderId="8" xfId="0" applyFont="1" applyFill="1" applyBorder="1" applyAlignment="1" applyProtection="1">
      <alignment horizontal="left" vertical="center" indent="1"/>
      <protection hidden="1"/>
    </xf>
    <xf numFmtId="0" fontId="26" fillId="0" borderId="0" xfId="0" applyFont="1" applyFill="1" applyBorder="1" applyAlignment="1" applyProtection="1">
      <alignment horizontal="left" vertical="center" indent="1"/>
      <protection hidden="1"/>
    </xf>
    <xf numFmtId="0" fontId="96" fillId="0" borderId="1" xfId="0" applyFont="1" applyFill="1" applyBorder="1" applyAlignment="1" applyProtection="1">
      <alignment horizontal="left" vertical="center" wrapText="1"/>
      <protection locked="0" hidden="1"/>
    </xf>
    <xf numFmtId="0" fontId="102" fillId="0" borderId="0" xfId="0" applyFont="1" applyFill="1" applyBorder="1" applyAlignment="1" applyProtection="1">
      <alignment horizontal="left" vertical="center"/>
      <protection hidden="1"/>
    </xf>
    <xf numFmtId="0" fontId="89" fillId="0" borderId="11" xfId="0" applyFont="1" applyFill="1" applyBorder="1" applyAlignment="1" applyProtection="1">
      <alignment horizontal="left" vertical="center"/>
      <protection locked="0" hidden="1"/>
    </xf>
    <xf numFmtId="0" fontId="0" fillId="0" borderId="1" xfId="0" applyBorder="1" applyAlignment="1">
      <alignment horizontal="center" vertical="center"/>
    </xf>
    <xf numFmtId="0" fontId="103" fillId="0" borderId="0" xfId="0" applyFont="1" applyFill="1" applyAlignment="1" applyProtection="1">
      <alignment vertical="center"/>
      <protection hidden="1"/>
    </xf>
    <xf numFmtId="0" fontId="104" fillId="0" borderId="0" xfId="0" applyFont="1" applyFill="1" applyAlignment="1">
      <alignment vertical="center"/>
    </xf>
    <xf numFmtId="0" fontId="105" fillId="0" borderId="0" xfId="0" applyFont="1" applyFill="1" applyBorder="1" applyAlignment="1" applyProtection="1">
      <alignment vertical="center" wrapText="1"/>
    </xf>
    <xf numFmtId="0" fontId="43" fillId="0" borderId="0" xfId="0" applyFont="1" applyFill="1" applyBorder="1" applyAlignment="1" applyProtection="1">
      <alignment horizontal="left" vertical="center"/>
    </xf>
    <xf numFmtId="165" fontId="1" fillId="0" borderId="1" xfId="0" applyNumberFormat="1" applyFont="1" applyFill="1" applyBorder="1" applyAlignment="1" applyProtection="1">
      <alignment vertical="center"/>
      <protection hidden="1"/>
    </xf>
    <xf numFmtId="0" fontId="87" fillId="0" borderId="10" xfId="0" applyFont="1" applyFill="1" applyBorder="1" applyAlignment="1" applyProtection="1">
      <alignment horizontal="center" vertical="center" wrapText="1"/>
      <protection locked="0" hidden="1"/>
    </xf>
    <xf numFmtId="0" fontId="27" fillId="0" borderId="7" xfId="0" applyNumberFormat="1" applyFont="1" applyFill="1" applyBorder="1" applyAlignment="1" applyProtection="1">
      <alignment horizontal="left" vertical="center"/>
      <protection hidden="1"/>
    </xf>
    <xf numFmtId="165" fontId="99" fillId="0" borderId="0" xfId="0" applyNumberFormat="1" applyFont="1" applyFill="1" applyBorder="1" applyAlignment="1" applyProtection="1">
      <alignment horizontal="left" vertical="center"/>
      <protection hidden="1"/>
    </xf>
    <xf numFmtId="14" fontId="27" fillId="0" borderId="9" xfId="0" applyNumberFormat="1" applyFont="1" applyFill="1" applyBorder="1" applyAlignment="1" applyProtection="1">
      <alignment horizontal="left" vertical="center"/>
      <protection hidden="1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 applyProtection="1">
      <alignment horizontal="left" vertical="center"/>
      <protection locked="0"/>
    </xf>
    <xf numFmtId="0" fontId="10" fillId="0" borderId="9" xfId="0" applyFont="1" applyFill="1" applyBorder="1" applyAlignment="1">
      <alignment horizontal="left" vertical="center"/>
    </xf>
    <xf numFmtId="0" fontId="43" fillId="0" borderId="9" xfId="0" applyFont="1" applyFill="1" applyBorder="1" applyAlignment="1" applyProtection="1">
      <alignment vertical="center"/>
      <protection locked="0" hidden="1"/>
    </xf>
    <xf numFmtId="0" fontId="10" fillId="0" borderId="9" xfId="0" applyFont="1" applyFill="1" applyBorder="1" applyAlignment="1" applyProtection="1">
      <alignment vertical="center"/>
      <protection hidden="1"/>
    </xf>
    <xf numFmtId="0" fontId="10" fillId="0" borderId="10" xfId="0" applyFont="1" applyFill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6" fillId="0" borderId="0" xfId="0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 textRotation="90"/>
    </xf>
    <xf numFmtId="166" fontId="0" fillId="0" borderId="0" xfId="0" applyNumberFormat="1" applyProtection="1"/>
    <xf numFmtId="164" fontId="0" fillId="0" borderId="0" xfId="0" applyNumberFormat="1" applyProtection="1"/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64" fontId="18" fillId="0" borderId="0" xfId="2" applyNumberFormat="1" applyFont="1" applyProtection="1">
      <protection locked="0"/>
    </xf>
    <xf numFmtId="168" fontId="1" fillId="0" borderId="0" xfId="2" applyNumberFormat="1" applyFont="1" applyProtection="1"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107" fillId="0" borderId="0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Alignment="1">
      <alignment horizontal="right" vertical="top"/>
    </xf>
    <xf numFmtId="169" fontId="4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0" fillId="0" borderId="5" xfId="0" applyNumberFormat="1" applyFont="1" applyBorder="1"/>
    <xf numFmtId="0" fontId="49" fillId="0" borderId="0" xfId="0" applyFont="1" applyFill="1" applyAlignment="1" applyProtection="1">
      <alignment vertical="center"/>
    </xf>
    <xf numFmtId="0" fontId="90" fillId="0" borderId="9" xfId="0" applyFont="1" applyFill="1" applyBorder="1" applyAlignment="1" applyProtection="1">
      <alignment vertical="center"/>
      <protection locked="0" hidden="1"/>
    </xf>
    <xf numFmtId="0" fontId="90" fillId="0" borderId="10" xfId="0" applyFont="1" applyFill="1" applyBorder="1" applyAlignment="1" applyProtection="1">
      <alignment vertical="center"/>
      <protection locked="0" hidden="1"/>
    </xf>
    <xf numFmtId="0" fontId="52" fillId="0" borderId="0" xfId="0" applyFont="1" applyFill="1" applyAlignment="1" applyProtection="1">
      <alignment horizontal="left" vertical="center"/>
      <protection hidden="1"/>
    </xf>
    <xf numFmtId="0" fontId="54" fillId="0" borderId="0" xfId="0" applyFont="1" applyFill="1" applyAlignment="1" applyProtection="1">
      <alignment vertical="center"/>
      <protection locked="0"/>
    </xf>
    <xf numFmtId="0" fontId="110" fillId="0" borderId="0" xfId="0" applyFont="1" applyFill="1" applyAlignment="1" applyProtection="1">
      <alignment vertical="center"/>
    </xf>
    <xf numFmtId="0" fontId="111" fillId="0" borderId="0" xfId="0" applyFont="1" applyFill="1" applyAlignment="1" applyProtection="1">
      <alignment vertical="center"/>
    </xf>
    <xf numFmtId="0" fontId="112" fillId="0" borderId="0" xfId="3" applyFont="1" applyFill="1" applyAlignment="1" applyProtection="1">
      <alignment vertical="center"/>
      <protection locked="0" hidden="1"/>
    </xf>
    <xf numFmtId="0" fontId="64" fillId="0" borderId="9" xfId="0" applyFont="1" applyFill="1" applyBorder="1" applyAlignment="1" applyProtection="1">
      <alignment horizontal="left" vertical="center"/>
      <protection hidden="1"/>
    </xf>
    <xf numFmtId="0" fontId="98" fillId="0" borderId="0" xfId="0" applyFont="1" applyFill="1" applyAlignment="1">
      <alignment vertical="center"/>
    </xf>
    <xf numFmtId="0" fontId="66" fillId="0" borderId="8" xfId="0" applyFont="1" applyFill="1" applyBorder="1" applyAlignment="1" applyProtection="1">
      <alignment horizontal="left" vertical="center" indent="1"/>
      <protection hidden="1"/>
    </xf>
    <xf numFmtId="0" fontId="91" fillId="0" borderId="10" xfId="0" applyFont="1" applyFill="1" applyBorder="1" applyAlignment="1" applyProtection="1">
      <alignment horizontal="center" vertical="center"/>
      <protection locked="0" hidden="1"/>
    </xf>
    <xf numFmtId="0" fontId="85" fillId="0" borderId="0" xfId="0" applyFont="1" applyFill="1" applyAlignment="1" applyProtection="1">
      <alignment horizontal="right" vertical="center"/>
      <protection locked="0" hidden="1"/>
    </xf>
    <xf numFmtId="0" fontId="107" fillId="0" borderId="0" xfId="0" applyFont="1" applyFill="1" applyAlignment="1" applyProtection="1">
      <alignment horizontal="left" vertical="center"/>
      <protection hidden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7" fillId="0" borderId="0" xfId="0" applyFont="1" applyFill="1" applyBorder="1" applyAlignment="1">
      <alignment horizontal="center" vertical="center"/>
    </xf>
    <xf numFmtId="0" fontId="117" fillId="0" borderId="0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/>
    </xf>
    <xf numFmtId="0" fontId="117" fillId="0" borderId="5" xfId="0" applyFont="1" applyBorder="1" applyAlignment="1">
      <alignment horizontal="center" vertical="center"/>
    </xf>
    <xf numFmtId="0" fontId="0" fillId="4" borderId="5" xfId="0" applyFont="1" applyFill="1" applyBorder="1"/>
    <xf numFmtId="0" fontId="0" fillId="0" borderId="5" xfId="0" applyFont="1" applyBorder="1"/>
    <xf numFmtId="0" fontId="7" fillId="3" borderId="28" xfId="0" applyFont="1" applyFill="1" applyBorder="1" applyAlignment="1" applyProtection="1">
      <alignment horizontal="center" vertical="center"/>
      <protection locked="0"/>
    </xf>
    <xf numFmtId="0" fontId="98" fillId="0" borderId="0" xfId="0" applyFont="1"/>
    <xf numFmtId="0" fontId="0" fillId="0" borderId="5" xfId="0" applyFont="1" applyBorder="1" applyAlignment="1">
      <alignment horizontal="left"/>
    </xf>
    <xf numFmtId="0" fontId="117" fillId="0" borderId="38" xfId="0" applyFont="1" applyBorder="1" applyAlignment="1">
      <alignment horizontal="center" vertical="center"/>
    </xf>
    <xf numFmtId="0" fontId="0" fillId="0" borderId="39" xfId="0" applyFont="1" applyBorder="1"/>
    <xf numFmtId="0" fontId="118" fillId="8" borderId="0" xfId="0" applyFont="1" applyFill="1"/>
    <xf numFmtId="0" fontId="7" fillId="0" borderId="16" xfId="0" applyFont="1" applyFill="1" applyBorder="1" applyAlignment="1">
      <alignment horizontal="center" vertical="center" wrapText="1"/>
    </xf>
    <xf numFmtId="0" fontId="98" fillId="9" borderId="0" xfId="0" applyFont="1" applyFill="1"/>
    <xf numFmtId="0" fontId="75" fillId="0" borderId="28" xfId="0" applyFont="1" applyBorder="1"/>
    <xf numFmtId="0" fontId="75" fillId="0" borderId="29" xfId="0" applyFont="1" applyBorder="1" applyAlignment="1">
      <alignment horizontal="left"/>
    </xf>
    <xf numFmtId="0" fontId="1" fillId="0" borderId="0" xfId="0" applyFont="1" applyFill="1" applyBorder="1"/>
    <xf numFmtId="0" fontId="0" fillId="0" borderId="0" xfId="0" applyFont="1" applyFill="1" applyBorder="1" applyAlignment="1">
      <alignment vertical="center" wrapText="1"/>
    </xf>
    <xf numFmtId="0" fontId="0" fillId="10" borderId="20" xfId="0" applyFill="1" applyBorder="1"/>
    <xf numFmtId="0" fontId="0" fillId="10" borderId="0" xfId="0" applyFill="1"/>
    <xf numFmtId="0" fontId="0" fillId="10" borderId="29" xfId="0" applyFill="1" applyBorder="1"/>
    <xf numFmtId="0" fontId="12" fillId="0" borderId="0" xfId="0" applyFont="1" applyFill="1" applyAlignment="1" applyProtection="1">
      <alignment horizontal="left" vertical="center"/>
      <protection hidden="1"/>
    </xf>
    <xf numFmtId="0" fontId="0" fillId="0" borderId="14" xfId="0" applyBorder="1" applyAlignment="1">
      <alignment horizontal="center" vertical="center"/>
    </xf>
    <xf numFmtId="0" fontId="119" fillId="0" borderId="0" xfId="0" applyFont="1"/>
    <xf numFmtId="0" fontId="0" fillId="0" borderId="1" xfId="0" applyBorder="1" applyAlignment="1">
      <alignment horizontal="center" vertical="center"/>
    </xf>
    <xf numFmtId="0" fontId="120" fillId="0" borderId="29" xfId="0" applyFont="1" applyBorder="1" applyAlignment="1">
      <alignment horizontal="left"/>
    </xf>
    <xf numFmtId="0" fontId="121" fillId="4" borderId="40" xfId="0" applyFont="1" applyFill="1" applyBorder="1"/>
    <xf numFmtId="0" fontId="121" fillId="4" borderId="50" xfId="0" applyFont="1" applyFill="1" applyBorder="1"/>
    <xf numFmtId="0" fontId="121" fillId="4" borderId="51" xfId="0" applyFont="1" applyFill="1" applyBorder="1"/>
    <xf numFmtId="0" fontId="1" fillId="10" borderId="20" xfId="0" applyFont="1" applyFill="1" applyBorder="1"/>
    <xf numFmtId="0" fontId="1" fillId="10" borderId="0" xfId="0" applyFont="1" applyFill="1"/>
    <xf numFmtId="0" fontId="97" fillId="0" borderId="0" xfId="0" applyNumberFormat="1" applyFont="1" applyFill="1" applyBorder="1" applyAlignment="1">
      <alignment horizontal="right"/>
    </xf>
    <xf numFmtId="0" fontId="0" fillId="0" borderId="16" xfId="0" applyFill="1" applyBorder="1"/>
    <xf numFmtId="0" fontId="123" fillId="0" borderId="1" xfId="0" applyFont="1" applyFill="1" applyBorder="1" applyAlignment="1">
      <alignment vertical="center"/>
    </xf>
    <xf numFmtId="0" fontId="123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Fill="1" applyBorder="1"/>
    <xf numFmtId="0" fontId="0" fillId="0" borderId="24" xfId="0" applyBorder="1" applyAlignment="1"/>
    <xf numFmtId="165" fontId="86" fillId="0" borderId="8" xfId="0" applyNumberFormat="1" applyFont="1" applyFill="1" applyBorder="1" applyAlignment="1" applyProtection="1">
      <alignment horizontal="left" vertical="center" wrapText="1"/>
      <protection locked="0" hidden="1"/>
    </xf>
    <xf numFmtId="0" fontId="124" fillId="0" borderId="8" xfId="0" applyFont="1" applyFill="1" applyBorder="1" applyAlignment="1" applyProtection="1">
      <alignment horizontal="left" vertical="center"/>
      <protection hidden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ont="1" applyFill="1" applyBorder="1" applyAlignment="1">
      <alignment horizontal="left"/>
    </xf>
    <xf numFmtId="0" fontId="84" fillId="0" borderId="9" xfId="0" applyFont="1" applyFill="1" applyBorder="1" applyAlignment="1" applyProtection="1">
      <alignment horizontal="left" vertical="center"/>
      <protection locked="0" hidden="1"/>
    </xf>
    <xf numFmtId="0" fontId="64" fillId="0" borderId="9" xfId="0" applyFont="1" applyFill="1" applyBorder="1" applyAlignment="1" applyProtection="1">
      <alignment horizontal="left" vertical="center"/>
      <protection locked="0" hidden="1"/>
    </xf>
    <xf numFmtId="0" fontId="0" fillId="0" borderId="0" xfId="0" applyProtection="1">
      <protection hidden="1"/>
    </xf>
    <xf numFmtId="0" fontId="1" fillId="0" borderId="10" xfId="0" applyFont="1" applyBorder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97" fillId="0" borderId="0" xfId="0" applyNumberFormat="1" applyFont="1" applyFill="1" applyBorder="1" applyAlignment="1">
      <alignment horizontal="right" vertical="center"/>
    </xf>
    <xf numFmtId="0" fontId="0" fillId="0" borderId="0" xfId="0" applyNumberFormat="1" applyFill="1" applyAlignment="1">
      <alignment vertical="center"/>
    </xf>
    <xf numFmtId="49" fontId="113" fillId="0" borderId="0" xfId="0" applyNumberFormat="1" applyFont="1" applyFill="1" applyAlignment="1">
      <alignment horizontal="left" vertical="center"/>
    </xf>
    <xf numFmtId="2" fontId="0" fillId="0" borderId="0" xfId="0" applyNumberFormat="1" applyFill="1" applyAlignment="1">
      <alignment vertical="center"/>
    </xf>
    <xf numFmtId="0" fontId="113" fillId="0" borderId="0" xfId="0" applyNumberFormat="1" applyFont="1" applyFill="1" applyAlignment="1">
      <alignment horizontal="right" vertical="center"/>
    </xf>
    <xf numFmtId="0" fontId="77" fillId="0" borderId="0" xfId="0" applyFont="1" applyFill="1" applyAlignment="1">
      <alignment vertical="center"/>
    </xf>
    <xf numFmtId="0" fontId="75" fillId="0" borderId="0" xfId="0" applyFont="1" applyFill="1" applyAlignment="1">
      <alignment vertical="center"/>
    </xf>
    <xf numFmtId="0" fontId="0" fillId="4" borderId="40" xfId="0" applyFont="1" applyFill="1" applyBorder="1"/>
    <xf numFmtId="0" fontId="47" fillId="0" borderId="0" xfId="0" applyFont="1" applyBorder="1" applyProtection="1">
      <protection locked="0" hidden="1"/>
    </xf>
    <xf numFmtId="0" fontId="126" fillId="0" borderId="0" xfId="0" applyFont="1" applyBorder="1" applyProtection="1">
      <protection locked="0" hidden="1"/>
    </xf>
    <xf numFmtId="0" fontId="127" fillId="0" borderId="0" xfId="0" applyFont="1" applyFill="1" applyAlignment="1">
      <alignment vertical="center"/>
    </xf>
    <xf numFmtId="0" fontId="106" fillId="0" borderId="9" xfId="0" applyFont="1" applyFill="1" applyBorder="1" applyAlignment="1" applyProtection="1">
      <alignment horizontal="left" vertical="center" wrapText="1"/>
      <protection locked="0" hidden="1"/>
    </xf>
    <xf numFmtId="0" fontId="108" fillId="0" borderId="0" xfId="0" applyFont="1" applyFill="1" applyAlignment="1" applyProtection="1">
      <alignment horizontal="center" vertical="center" wrapText="1"/>
      <protection hidden="1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1" fontId="59" fillId="0" borderId="0" xfId="0" applyNumberFormat="1" applyFont="1" applyFill="1" applyAlignment="1" applyProtection="1">
      <alignment vertical="center"/>
      <protection hidden="1"/>
    </xf>
    <xf numFmtId="0" fontId="98" fillId="0" borderId="0" xfId="0" applyNumberFormat="1" applyFont="1" applyFill="1" applyAlignment="1">
      <alignment vertical="center"/>
    </xf>
    <xf numFmtId="0" fontId="78" fillId="0" borderId="0" xfId="0" applyFont="1" applyFill="1" applyAlignment="1">
      <alignment horizontal="right"/>
    </xf>
    <xf numFmtId="0" fontId="78" fillId="0" borderId="0" xfId="0" applyFont="1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29" fillId="0" borderId="10" xfId="0" applyFont="1" applyFill="1" applyBorder="1" applyAlignment="1">
      <alignment horizontal="left" vertical="center"/>
    </xf>
    <xf numFmtId="0" fontId="0" fillId="0" borderId="40" xfId="0" applyFont="1" applyBorder="1"/>
    <xf numFmtId="0" fontId="0" fillId="0" borderId="52" xfId="0" applyFont="1" applyBorder="1"/>
    <xf numFmtId="0" fontId="128" fillId="0" borderId="8" xfId="0" applyFont="1" applyFill="1" applyBorder="1" applyAlignment="1" applyProtection="1">
      <alignment vertical="center"/>
      <protection hidden="1"/>
    </xf>
    <xf numFmtId="0" fontId="41" fillId="0" borderId="9" xfId="0" applyFont="1" applyFill="1" applyBorder="1" applyAlignment="1" applyProtection="1">
      <alignment vertical="center"/>
      <protection hidden="1"/>
    </xf>
    <xf numFmtId="0" fontId="37" fillId="0" borderId="7" xfId="0" applyFont="1" applyFill="1" applyBorder="1" applyAlignment="1">
      <alignment horizontal="right" vertical="center"/>
    </xf>
    <xf numFmtId="0" fontId="41" fillId="0" borderId="13" xfId="0" applyFont="1" applyFill="1" applyBorder="1" applyAlignment="1" applyProtection="1">
      <alignment vertical="center"/>
      <protection hidden="1"/>
    </xf>
    <xf numFmtId="0" fontId="86" fillId="0" borderId="12" xfId="0" applyFont="1" applyFill="1" applyBorder="1" applyAlignment="1" applyProtection="1">
      <alignment vertical="center"/>
      <protection locked="0"/>
    </xf>
    <xf numFmtId="0" fontId="88" fillId="0" borderId="8" xfId="0" applyFont="1" applyFill="1" applyBorder="1" applyAlignment="1" applyProtection="1">
      <alignment vertical="center"/>
      <protection locked="0" hidden="1"/>
    </xf>
    <xf numFmtId="0" fontId="130" fillId="0" borderId="10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0" fontId="24" fillId="0" borderId="20" xfId="0" applyFont="1" applyFill="1" applyBorder="1" applyAlignment="1" applyProtection="1">
      <alignment horizontal="left" vertical="center"/>
      <protection hidden="1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5" fontId="1" fillId="0" borderId="1" xfId="0" applyNumberFormat="1" applyFont="1" applyFill="1" applyBorder="1" applyAlignment="1">
      <alignment horizontal="center"/>
    </xf>
    <xf numFmtId="0" fontId="1" fillId="0" borderId="0" xfId="0" applyFont="1" applyAlignment="1" applyProtection="1">
      <alignment horizontal="center" textRotation="90"/>
    </xf>
    <xf numFmtId="0" fontId="27" fillId="0" borderId="9" xfId="0" applyFont="1" applyFill="1" applyBorder="1" applyAlignment="1" applyProtection="1">
      <alignment horizontal="left" vertical="center"/>
      <protection hidden="1"/>
    </xf>
    <xf numFmtId="0" fontId="129" fillId="0" borderId="10" xfId="0" applyFont="1" applyFill="1" applyBorder="1" applyAlignment="1" applyProtection="1">
      <alignment horizontal="left" vertical="center"/>
      <protection locked="0"/>
    </xf>
    <xf numFmtId="0" fontId="17" fillId="0" borderId="29" xfId="0" applyFont="1" applyBorder="1" applyAlignment="1">
      <alignment horizontal="left"/>
    </xf>
    <xf numFmtId="0" fontId="17" fillId="0" borderId="20" xfId="0" applyFont="1" applyBorder="1"/>
    <xf numFmtId="0" fontId="2" fillId="0" borderId="53" xfId="0" applyFont="1" applyBorder="1" applyAlignment="1" applyProtection="1">
      <alignment horizontal="center" vertical="center"/>
      <protection hidden="1"/>
    </xf>
    <xf numFmtId="0" fontId="2" fillId="0" borderId="54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11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wrapText="1"/>
    </xf>
    <xf numFmtId="0" fontId="0" fillId="4" borderId="39" xfId="0" applyFont="1" applyFill="1" applyBorder="1" applyAlignment="1">
      <alignment horizontal="left" wrapText="1"/>
    </xf>
    <xf numFmtId="0" fontId="132" fillId="0" borderId="0" xfId="0" applyFont="1"/>
    <xf numFmtId="0" fontId="0" fillId="0" borderId="0" xfId="0" applyFont="1" applyBorder="1"/>
    <xf numFmtId="0" fontId="49" fillId="0" borderId="1" xfId="0" applyFont="1" applyFill="1" applyBorder="1" applyAlignment="1">
      <alignment vertical="center"/>
    </xf>
    <xf numFmtId="0" fontId="49" fillId="0" borderId="1" xfId="0" applyFont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49" fillId="0" borderId="8" xfId="0" applyFont="1" applyFill="1" applyBorder="1" applyAlignment="1">
      <alignment horizontal="center" vertical="center"/>
    </xf>
    <xf numFmtId="0" fontId="49" fillId="0" borderId="1" xfId="0" applyNumberFormat="1" applyFont="1" applyFill="1" applyBorder="1" applyAlignment="1">
      <alignment horizontal="center" vertical="center"/>
    </xf>
    <xf numFmtId="0" fontId="49" fillId="0" borderId="0" xfId="0" applyFont="1"/>
    <xf numFmtId="165" fontId="49" fillId="0" borderId="1" xfId="0" applyNumberFormat="1" applyFont="1" applyBorder="1" applyAlignment="1">
      <alignment horizontal="center"/>
    </xf>
    <xf numFmtId="0" fontId="106" fillId="0" borderId="20" xfId="0" applyFont="1" applyFill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75" fillId="3" borderId="29" xfId="0" applyFont="1" applyFill="1" applyBorder="1" applyAlignment="1">
      <alignment horizontal="left"/>
    </xf>
    <xf numFmtId="0" fontId="0" fillId="0" borderId="0" xfId="0" applyAlignment="1" applyProtection="1">
      <alignment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123" fillId="0" borderId="1" xfId="0" applyFont="1" applyBorder="1" applyAlignment="1" applyProtection="1">
      <alignment vertical="center" wrapText="1"/>
      <protection hidden="1"/>
    </xf>
    <xf numFmtId="0" fontId="8" fillId="0" borderId="9" xfId="0" applyFont="1" applyFill="1" applyBorder="1" applyAlignment="1" applyProtection="1">
      <alignment horizontal="left" vertical="center"/>
      <protection hidden="1"/>
    </xf>
    <xf numFmtId="0" fontId="21" fillId="0" borderId="8" xfId="0" applyFont="1" applyFill="1" applyBorder="1" applyAlignment="1" applyProtection="1">
      <alignment horizontal="left" vertical="center"/>
      <protection hidden="1"/>
    </xf>
    <xf numFmtId="0" fontId="95" fillId="0" borderId="0" xfId="0" applyFont="1" applyFill="1" applyBorder="1" applyAlignment="1" applyProtection="1">
      <alignment horizontal="left" vertical="center" wrapText="1"/>
      <protection locked="0" hidden="1"/>
    </xf>
    <xf numFmtId="0" fontId="72" fillId="0" borderId="0" xfId="0" applyFont="1" applyFill="1" applyBorder="1" applyAlignment="1" applyProtection="1">
      <alignment vertical="center"/>
      <protection locked="0" hidden="1"/>
    </xf>
    <xf numFmtId="0" fontId="38" fillId="0" borderId="0" xfId="0" applyFont="1" applyFill="1" applyBorder="1" applyAlignment="1">
      <alignment vertical="center"/>
    </xf>
    <xf numFmtId="0" fontId="43" fillId="0" borderId="4" xfId="0" applyFont="1" applyFill="1" applyBorder="1" applyAlignment="1" applyProtection="1">
      <alignment horizontal="center" vertical="center"/>
      <protection locked="0"/>
    </xf>
    <xf numFmtId="0" fontId="24" fillId="0" borderId="9" xfId="0" applyFont="1" applyFill="1" applyBorder="1" applyAlignment="1" applyProtection="1">
      <alignment horizontal="right" vertical="center"/>
      <protection hidden="1"/>
    </xf>
    <xf numFmtId="0" fontId="93" fillId="0" borderId="14" xfId="0" applyFont="1" applyFill="1" applyBorder="1" applyAlignment="1" applyProtection="1">
      <alignment vertical="center"/>
      <protection locked="0"/>
    </xf>
    <xf numFmtId="0" fontId="8" fillId="0" borderId="7" xfId="0" applyFont="1" applyFill="1" applyBorder="1" applyAlignment="1" applyProtection="1">
      <alignment horizontal="left" vertical="center"/>
      <protection hidden="1"/>
    </xf>
    <xf numFmtId="1" fontId="0" fillId="0" borderId="0" xfId="0" applyNumberFormat="1" applyProtection="1">
      <protection locked="0"/>
    </xf>
    <xf numFmtId="1" fontId="133" fillId="0" borderId="13" xfId="0" applyNumberFormat="1" applyFont="1" applyFill="1" applyBorder="1" applyAlignment="1" applyProtection="1">
      <alignment vertical="center"/>
      <protection locked="0"/>
    </xf>
    <xf numFmtId="0" fontId="134" fillId="0" borderId="9" xfId="0" applyFont="1" applyFill="1" applyBorder="1" applyAlignment="1" applyProtection="1">
      <alignment horizontal="left" vertical="center" indent="1"/>
      <protection hidden="1"/>
    </xf>
    <xf numFmtId="0" fontId="24" fillId="0" borderId="0" xfId="0" applyFont="1" applyFill="1" applyAlignment="1" applyProtection="1">
      <alignment horizontal="center" vertical="center" wrapText="1"/>
      <protection hidden="1"/>
    </xf>
    <xf numFmtId="0" fontId="117" fillId="0" borderId="17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27" xfId="0" applyFont="1" applyBorder="1"/>
    <xf numFmtId="0" fontId="0" fillId="0" borderId="36" xfId="0" applyBorder="1"/>
    <xf numFmtId="0" fontId="0" fillId="0" borderId="27" xfId="0" applyBorder="1" applyProtection="1">
      <protection locked="0"/>
    </xf>
    <xf numFmtId="0" fontId="135" fillId="0" borderId="5" xfId="0" applyFont="1" applyBorder="1" applyAlignment="1">
      <alignment horizontal="center" vertical="center"/>
    </xf>
    <xf numFmtId="0" fontId="136" fillId="0" borderId="5" xfId="0" applyFont="1" applyBorder="1" applyAlignment="1">
      <alignment horizontal="center" vertical="center"/>
    </xf>
    <xf numFmtId="0" fontId="0" fillId="0" borderId="3" xfId="0" applyBorder="1" applyAlignment="1" applyProtection="1">
      <alignment vertical="center" wrapText="1"/>
      <protection hidden="1"/>
    </xf>
    <xf numFmtId="0" fontId="0" fillId="0" borderId="3" xfId="0" applyBorder="1" applyAlignment="1" applyProtection="1">
      <alignment vertical="center"/>
      <protection hidden="1"/>
    </xf>
    <xf numFmtId="0" fontId="0" fillId="0" borderId="20" xfId="0" applyNumberFormat="1" applyBorder="1"/>
    <xf numFmtId="0" fontId="0" fillId="0" borderId="1" xfId="0" applyBorder="1" applyAlignment="1">
      <alignment horizontal="center" vertical="center"/>
    </xf>
    <xf numFmtId="0" fontId="49" fillId="0" borderId="1" xfId="0" applyFont="1" applyBorder="1"/>
    <xf numFmtId="0" fontId="49" fillId="0" borderId="8" xfId="0" applyFont="1" applyBorder="1"/>
    <xf numFmtId="0" fontId="0" fillId="0" borderId="1" xfId="0" applyBorder="1" applyAlignment="1">
      <alignment horizontal="center" vertical="center"/>
    </xf>
    <xf numFmtId="0" fontId="115" fillId="7" borderId="0" xfId="0" applyFont="1" applyFill="1" applyAlignment="1">
      <alignment horizontal="center" vertical="center"/>
    </xf>
    <xf numFmtId="0" fontId="1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29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01" fillId="0" borderId="0" xfId="0" applyFont="1"/>
    <xf numFmtId="1" fontId="0" fillId="0" borderId="13" xfId="0" applyNumberFormat="1" applyBorder="1" applyProtection="1">
      <protection locked="0" hidden="1"/>
    </xf>
    <xf numFmtId="0" fontId="0" fillId="0" borderId="13" xfId="0" applyBorder="1" applyAlignment="1" applyProtection="1">
      <alignment horizontal="center" vertical="center"/>
      <protection locked="0" hidden="1"/>
    </xf>
    <xf numFmtId="0" fontId="0" fillId="0" borderId="0" xfId="0" applyBorder="1" applyAlignment="1" applyProtection="1">
      <alignment horizontal="center" vertical="center"/>
      <protection locked="0" hidden="1"/>
    </xf>
    <xf numFmtId="0" fontId="0" fillId="0" borderId="14" xfId="0" applyBorder="1" applyAlignment="1" applyProtection="1">
      <alignment horizontal="left"/>
      <protection locked="0" hidden="1"/>
    </xf>
    <xf numFmtId="0" fontId="138" fillId="0" borderId="5" xfId="0" applyFont="1" applyBorder="1" applyAlignment="1">
      <alignment horizontal="center" vertical="center"/>
    </xf>
    <xf numFmtId="0" fontId="26" fillId="0" borderId="0" xfId="0" applyFont="1" applyFill="1" applyBorder="1" applyAlignment="1" applyProtection="1">
      <alignment horizontal="left" vertical="center"/>
      <protection hidden="1"/>
    </xf>
    <xf numFmtId="0" fontId="0" fillId="0" borderId="55" xfId="0" applyFont="1" applyBorder="1"/>
    <xf numFmtId="165" fontId="10" fillId="0" borderId="0" xfId="0" applyNumberFormat="1" applyFont="1" applyFill="1" applyBorder="1" applyAlignment="1" applyProtection="1">
      <alignment vertical="center"/>
    </xf>
    <xf numFmtId="0" fontId="27" fillId="0" borderId="8" xfId="0" applyFont="1" applyFill="1" applyBorder="1" applyAlignment="1">
      <alignment horizontal="left" vertical="center"/>
    </xf>
    <xf numFmtId="0" fontId="26" fillId="0" borderId="16" xfId="0" applyFont="1" applyFill="1" applyBorder="1" applyAlignment="1" applyProtection="1">
      <alignment horizontal="left" vertical="center"/>
      <protection hidden="1"/>
    </xf>
    <xf numFmtId="0" fontId="0" fillId="0" borderId="16" xfId="0" applyFont="1" applyFill="1" applyBorder="1" applyAlignment="1">
      <alignment vertical="center"/>
    </xf>
    <xf numFmtId="0" fontId="41" fillId="0" borderId="31" xfId="0" applyNumberFormat="1" applyFont="1" applyFill="1" applyBorder="1" applyAlignment="1">
      <alignment horizontal="center" vertical="center"/>
    </xf>
    <xf numFmtId="0" fontId="27" fillId="0" borderId="7" xfId="0" applyFont="1" applyFill="1" applyBorder="1" applyAlignment="1" applyProtection="1">
      <alignment horizontal="left" vertical="center"/>
      <protection hidden="1"/>
    </xf>
    <xf numFmtId="0" fontId="2" fillId="0" borderId="7" xfId="0" applyFont="1" applyFill="1" applyBorder="1" applyAlignment="1" applyProtection="1">
      <alignment vertical="center"/>
      <protection hidden="1"/>
    </xf>
    <xf numFmtId="0" fontId="41" fillId="0" borderId="16" xfId="0" applyNumberFormat="1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vertical="center"/>
    </xf>
    <xf numFmtId="0" fontId="47" fillId="0" borderId="12" xfId="0" applyFont="1" applyFill="1" applyBorder="1" applyAlignment="1">
      <alignment horizontal="left" vertical="center"/>
    </xf>
    <xf numFmtId="0" fontId="89" fillId="0" borderId="13" xfId="0" applyFont="1" applyFill="1" applyBorder="1" applyAlignment="1" applyProtection="1">
      <alignment horizontal="left" vertical="center"/>
      <protection locked="0" hidden="1"/>
    </xf>
    <xf numFmtId="0" fontId="26" fillId="0" borderId="12" xfId="0" applyFont="1" applyFill="1" applyBorder="1" applyAlignment="1" applyProtection="1">
      <alignment horizontal="left" vertical="center"/>
      <protection hidden="1"/>
    </xf>
    <xf numFmtId="0" fontId="21" fillId="0" borderId="9" xfId="0" applyFont="1" applyFill="1" applyBorder="1" applyAlignment="1" applyProtection="1">
      <alignment horizontal="left" vertical="center"/>
      <protection hidden="1"/>
    </xf>
    <xf numFmtId="0" fontId="8" fillId="0" borderId="16" xfId="0" applyFont="1" applyFill="1" applyBorder="1" applyAlignment="1" applyProtection="1">
      <alignment horizontal="left" vertical="center"/>
      <protection hidden="1"/>
    </xf>
    <xf numFmtId="0" fontId="11" fillId="0" borderId="1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6" borderId="0" xfId="0" applyFont="1" applyFill="1" applyAlignment="1">
      <alignment horizontal="center" vertical="center" wrapText="1"/>
    </xf>
    <xf numFmtId="0" fontId="122" fillId="6" borderId="0" xfId="0" applyFont="1" applyFill="1" applyAlignment="1">
      <alignment horizontal="center" vertical="center"/>
    </xf>
    <xf numFmtId="0" fontId="139" fillId="6" borderId="0" xfId="0" applyFont="1" applyFill="1" applyAlignment="1">
      <alignment horizontal="center" vertical="center" wrapText="1"/>
    </xf>
    <xf numFmtId="0" fontId="140" fillId="0" borderId="0" xfId="0" applyFont="1"/>
    <xf numFmtId="0" fontId="141" fillId="0" borderId="0" xfId="0" applyFont="1" applyFill="1" applyBorder="1" applyAlignment="1" applyProtection="1">
      <alignment horizontal="left" vertical="center"/>
      <protection hidden="1"/>
    </xf>
    <xf numFmtId="0" fontId="141" fillId="0" borderId="7" xfId="0" applyFont="1" applyFill="1" applyBorder="1" applyAlignment="1" applyProtection="1">
      <alignment horizontal="left" vertical="center"/>
      <protection hidden="1"/>
    </xf>
    <xf numFmtId="0" fontId="0" fillId="0" borderId="20" xfId="0" applyFont="1" applyBorder="1"/>
    <xf numFmtId="165" fontId="18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1" fontId="49" fillId="0" borderId="1" xfId="0" applyNumberFormat="1" applyFont="1" applyBorder="1" applyAlignment="1">
      <alignment horizontal="center"/>
    </xf>
    <xf numFmtId="0" fontId="7" fillId="3" borderId="57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0" fillId="0" borderId="21" xfId="0" applyFont="1" applyFill="1" applyBorder="1"/>
    <xf numFmtId="0" fontId="98" fillId="0" borderId="0" xfId="0" applyFont="1" applyFill="1" applyBorder="1"/>
    <xf numFmtId="0" fontId="17" fillId="0" borderId="0" xfId="0" applyFont="1"/>
    <xf numFmtId="0" fontId="0" fillId="0" borderId="1" xfId="0" applyFont="1" applyFill="1" applyBorder="1"/>
    <xf numFmtId="0" fontId="0" fillId="0" borderId="8" xfId="0" applyFont="1" applyFill="1" applyBorder="1"/>
    <xf numFmtId="0" fontId="0" fillId="0" borderId="4" xfId="0" applyBorder="1"/>
    <xf numFmtId="0" fontId="0" fillId="0" borderId="8" xfId="0" applyBorder="1"/>
    <xf numFmtId="0" fontId="49" fillId="0" borderId="5" xfId="0" applyFont="1" applyBorder="1" applyAlignment="1">
      <alignment horizontal="center" vertical="center"/>
    </xf>
    <xf numFmtId="0" fontId="1" fillId="0" borderId="21" xfId="0" applyFont="1" applyFill="1" applyBorder="1"/>
    <xf numFmtId="0" fontId="1" fillId="0" borderId="21" xfId="0" applyFont="1" applyBorder="1"/>
    <xf numFmtId="0" fontId="1" fillId="2" borderId="0" xfId="0" applyFont="1" applyFill="1" applyAlignment="1" applyProtection="1">
      <alignment horizontal="center" textRotation="90"/>
    </xf>
    <xf numFmtId="0" fontId="0" fillId="2" borderId="0" xfId="0" applyFill="1" applyProtection="1">
      <protection locked="0"/>
    </xf>
    <xf numFmtId="0" fontId="87" fillId="0" borderId="10" xfId="0" applyFont="1" applyFill="1" applyBorder="1" applyAlignment="1" applyProtection="1">
      <alignment horizontal="center" vertical="center"/>
      <protection locked="0" hidden="1"/>
    </xf>
    <xf numFmtId="0" fontId="41" fillId="0" borderId="15" xfId="0" applyFont="1" applyFill="1" applyBorder="1" applyAlignment="1" applyProtection="1">
      <alignment vertical="center"/>
      <protection hidden="1"/>
    </xf>
    <xf numFmtId="0" fontId="143" fillId="0" borderId="9" xfId="0" applyFont="1" applyFill="1" applyBorder="1" applyAlignment="1" applyProtection="1">
      <alignment vertical="center"/>
      <protection hidden="1"/>
    </xf>
    <xf numFmtId="0" fontId="144" fillId="0" borderId="12" xfId="0" applyFont="1" applyFill="1" applyBorder="1" applyAlignment="1" applyProtection="1">
      <alignment horizontal="left" vertical="center"/>
      <protection hidden="1"/>
    </xf>
    <xf numFmtId="165" fontId="142" fillId="0" borderId="9" xfId="0" applyNumberFormat="1" applyFont="1" applyFill="1" applyBorder="1" applyAlignment="1" applyProtection="1">
      <alignment horizontal="right" vertical="center"/>
      <protection hidden="1"/>
    </xf>
    <xf numFmtId="165" fontId="18" fillId="0" borderId="3" xfId="0" applyNumberFormat="1" applyFont="1" applyFill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18" fillId="0" borderId="4" xfId="0" applyNumberFormat="1" applyFont="1" applyFill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17" fillId="0" borderId="0" xfId="0" applyFont="1" applyFill="1" applyBorder="1"/>
    <xf numFmtId="0" fontId="17" fillId="0" borderId="0" xfId="0" applyFont="1" applyFill="1"/>
    <xf numFmtId="0" fontId="145" fillId="0" borderId="29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0" fillId="0" borderId="0" xfId="0" applyNumberFormat="1" applyBorder="1"/>
    <xf numFmtId="0" fontId="0" fillId="0" borderId="43" xfId="0" applyBorder="1"/>
    <xf numFmtId="0" fontId="0" fillId="0" borderId="45" xfId="0" applyBorder="1"/>
    <xf numFmtId="0" fontId="0" fillId="0" borderId="46" xfId="0" applyBorder="1"/>
    <xf numFmtId="0" fontId="0" fillId="0" borderId="48" xfId="0" applyBorder="1"/>
    <xf numFmtId="0" fontId="0" fillId="0" borderId="49" xfId="0" applyBorder="1"/>
    <xf numFmtId="0" fontId="1" fillId="0" borderId="42" xfId="0" applyFont="1" applyBorder="1" applyAlignment="1">
      <alignment horizontal="right"/>
    </xf>
    <xf numFmtId="0" fontId="1" fillId="0" borderId="41" xfId="0" applyFont="1" applyBorder="1" applyAlignment="1">
      <alignment horizontal="right"/>
    </xf>
    <xf numFmtId="0" fontId="1" fillId="0" borderId="41" xfId="0" applyFont="1" applyFill="1" applyBorder="1" applyAlignment="1">
      <alignment horizontal="right"/>
    </xf>
    <xf numFmtId="0" fontId="0" fillId="0" borderId="41" xfId="0" applyBorder="1"/>
    <xf numFmtId="0" fontId="0" fillId="0" borderId="47" xfId="0" applyBorder="1"/>
    <xf numFmtId="0" fontId="49" fillId="0" borderId="42" xfId="0" applyFont="1" applyBorder="1"/>
    <xf numFmtId="0" fontId="49" fillId="0" borderId="43" xfId="0" applyFont="1" applyBorder="1"/>
    <xf numFmtId="0" fontId="49" fillId="0" borderId="45" xfId="0" applyFont="1" applyBorder="1"/>
    <xf numFmtId="0" fontId="49" fillId="0" borderId="0" xfId="0" applyFont="1" applyFill="1" applyBorder="1" applyAlignment="1">
      <alignment horizontal="center" vertical="center"/>
    </xf>
    <xf numFmtId="0" fontId="27" fillId="0" borderId="13" xfId="0" applyFont="1" applyFill="1" applyBorder="1" applyAlignment="1" applyProtection="1">
      <alignment horizontal="left" vertical="center"/>
      <protection hidden="1"/>
    </xf>
    <xf numFmtId="170" fontId="49" fillId="0" borderId="2" xfId="0" applyNumberFormat="1" applyFont="1" applyBorder="1" applyAlignment="1" applyProtection="1">
      <alignment horizontal="center" vertical="center" textRotation="90"/>
      <protection hidden="1"/>
    </xf>
    <xf numFmtId="0" fontId="0" fillId="4" borderId="40" xfId="0" applyFont="1" applyFill="1" applyBorder="1" applyAlignment="1">
      <alignment horizontal="left"/>
    </xf>
    <xf numFmtId="0" fontId="1" fillId="2" borderId="0" xfId="0" applyFont="1" applyFill="1"/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1" xfId="0" applyFont="1" applyFill="1" applyBorder="1"/>
    <xf numFmtId="165" fontId="1" fillId="2" borderId="1" xfId="0" applyNumberFormat="1" applyFont="1" applyFill="1" applyBorder="1" applyAlignment="1">
      <alignment horizontal="center"/>
    </xf>
    <xf numFmtId="0" fontId="24" fillId="2" borderId="20" xfId="0" applyFont="1" applyFill="1" applyBorder="1" applyAlignment="1" applyProtection="1">
      <alignment horizontal="left" vertical="center"/>
      <protection hidden="1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2" xfId="0" applyFont="1" applyFill="1" applyBorder="1"/>
    <xf numFmtId="0" fontId="1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9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46" fillId="3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NumberFormat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0" fillId="0" borderId="0" xfId="0" applyNumberForma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147" fillId="0" borderId="0" xfId="0" applyFont="1" applyFill="1" applyBorder="1" applyAlignment="1" applyProtection="1">
      <alignment horizontal="center" vertical="center"/>
      <protection hidden="1"/>
    </xf>
    <xf numFmtId="0" fontId="0" fillId="0" borderId="3" xfId="0" applyNumberFormat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48" fillId="0" borderId="0" xfId="0" applyFont="1" applyFill="1" applyAlignment="1" applyProtection="1">
      <alignment vertical="center"/>
      <protection hidden="1"/>
    </xf>
    <xf numFmtId="0" fontId="17" fillId="0" borderId="1" xfId="0" applyNumberFormat="1" applyFont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49" fillId="0" borderId="38" xfId="0" applyFont="1" applyBorder="1" applyAlignment="1">
      <alignment horizontal="center" vertical="center"/>
    </xf>
    <xf numFmtId="0" fontId="1" fillId="0" borderId="24" xfId="0" applyFont="1" applyBorder="1"/>
    <xf numFmtId="0" fontId="0" fillId="0" borderId="59" xfId="0" applyFont="1" applyBorder="1"/>
    <xf numFmtId="0" fontId="49" fillId="2" borderId="58" xfId="0" applyFont="1" applyFill="1" applyBorder="1"/>
    <xf numFmtId="0" fontId="49" fillId="0" borderId="0" xfId="0" applyFont="1" applyBorder="1"/>
    <xf numFmtId="0" fontId="0" fillId="2" borderId="0" xfId="0" applyNumberFormat="1" applyFill="1" applyBorder="1" applyAlignment="1">
      <alignment horizontal="left" vertical="center"/>
    </xf>
    <xf numFmtId="0" fontId="123" fillId="0" borderId="10" xfId="0" applyNumberFormat="1" applyFont="1" applyBorder="1" applyAlignment="1">
      <alignment horizontal="left" vertical="center"/>
    </xf>
    <xf numFmtId="0" fontId="0" fillId="0" borderId="10" xfId="0" applyNumberFormat="1" applyBorder="1" applyAlignment="1">
      <alignment horizontal="left" vertical="center"/>
    </xf>
    <xf numFmtId="0" fontId="0" fillId="0" borderId="41" xfId="0" applyNumberFormat="1" applyBorder="1" applyAlignment="1">
      <alignment horizontal="left" vertical="center"/>
    </xf>
    <xf numFmtId="0" fontId="0" fillId="0" borderId="10" xfId="0" applyNumberFormat="1" applyFill="1" applyBorder="1" applyAlignment="1">
      <alignment horizontal="left" vertical="center"/>
    </xf>
    <xf numFmtId="0" fontId="0" fillId="2" borderId="0" xfId="0" applyNumberForma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167" fontId="111" fillId="0" borderId="0" xfId="0" applyNumberFormat="1" applyFont="1" applyFill="1" applyAlignment="1" applyProtection="1">
      <alignment vertical="center"/>
      <protection hidden="1"/>
    </xf>
    <xf numFmtId="0" fontId="150" fillId="4" borderId="40" xfId="0" applyFont="1" applyFill="1" applyBorder="1"/>
    <xf numFmtId="49" fontId="79" fillId="0" borderId="0" xfId="0" applyNumberFormat="1" applyFont="1" applyFill="1" applyAlignment="1" applyProtection="1">
      <alignment horizontal="right" vertical="center"/>
      <protection locked="0"/>
    </xf>
    <xf numFmtId="0" fontId="91" fillId="0" borderId="9" xfId="0" applyFont="1" applyFill="1" applyBorder="1" applyAlignment="1" applyProtection="1">
      <alignment horizontal="centerContinuous" vertical="center" wrapText="1"/>
      <protection locked="0" hidden="1"/>
    </xf>
    <xf numFmtId="0" fontId="91" fillId="0" borderId="10" xfId="0" applyFont="1" applyFill="1" applyBorder="1" applyAlignment="1" applyProtection="1">
      <alignment horizontal="centerContinuous" vertical="center" wrapText="1"/>
      <protection locked="0" hidden="1"/>
    </xf>
    <xf numFmtId="0" fontId="0" fillId="0" borderId="0" xfId="0" applyAlignment="1" applyProtection="1">
      <alignment horizontal="center" vertical="center"/>
      <protection locked="0"/>
    </xf>
    <xf numFmtId="0" fontId="151" fillId="0" borderId="14" xfId="0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 applyProtection="1">
      <alignment horizontal="center" vertical="center"/>
      <protection locked="0"/>
    </xf>
    <xf numFmtId="0" fontId="0" fillId="0" borderId="44" xfId="0" applyBorder="1"/>
    <xf numFmtId="0" fontId="0" fillId="2" borderId="1" xfId="0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88" fillId="0" borderId="2" xfId="0" applyFont="1" applyFill="1" applyBorder="1" applyAlignment="1" applyProtection="1">
      <alignment horizontal="left" vertical="center"/>
      <protection locked="0" hidden="1"/>
    </xf>
    <xf numFmtId="0" fontId="0" fillId="0" borderId="27" xfId="0" applyFill="1" applyBorder="1"/>
    <xf numFmtId="0" fontId="43" fillId="0" borderId="1" xfId="0" applyFont="1" applyFill="1" applyBorder="1" applyAlignment="1" applyProtection="1">
      <alignment horizontal="left" vertical="center"/>
      <protection locked="0"/>
    </xf>
    <xf numFmtId="0" fontId="66" fillId="0" borderId="11" xfId="0" applyFont="1" applyFill="1" applyBorder="1" applyAlignment="1" applyProtection="1">
      <alignment horizontal="left" vertical="center" indent="1"/>
      <protection hidden="1"/>
    </xf>
    <xf numFmtId="0" fontId="0" fillId="0" borderId="24" xfId="0" applyFont="1" applyBorder="1"/>
    <xf numFmtId="0" fontId="0" fillId="0" borderId="21" xfId="0" applyFont="1" applyBorder="1"/>
    <xf numFmtId="0" fontId="2" fillId="0" borderId="20" xfId="0" applyFont="1" applyBorder="1"/>
    <xf numFmtId="0" fontId="0" fillId="0" borderId="19" xfId="0" applyFont="1" applyBorder="1"/>
    <xf numFmtId="49" fontId="80" fillId="0" borderId="0" xfId="0" applyNumberFormat="1" applyFont="1" applyFill="1" applyAlignment="1" applyProtection="1">
      <alignment horizontal="center" vertical="center"/>
      <protection hidden="1"/>
    </xf>
    <xf numFmtId="0" fontId="80" fillId="0" borderId="0" xfId="0" applyFont="1" applyFill="1" applyAlignment="1" applyProtection="1">
      <alignment horizontal="left" vertical="center"/>
      <protection hidden="1"/>
    </xf>
    <xf numFmtId="0" fontId="61" fillId="0" borderId="0" xfId="0" applyFont="1" applyFill="1" applyBorder="1" applyAlignment="1" applyProtection="1">
      <alignment horizontal="left" vertical="center"/>
      <protection locked="0"/>
    </xf>
    <xf numFmtId="0" fontId="1" fillId="0" borderId="1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/>
    </xf>
    <xf numFmtId="0" fontId="28" fillId="0" borderId="9" xfId="0" applyFont="1" applyFill="1" applyBorder="1" applyAlignment="1" applyProtection="1">
      <alignment horizontal="left" vertical="center"/>
      <protection hidden="1"/>
    </xf>
    <xf numFmtId="0" fontId="47" fillId="0" borderId="10" xfId="0" applyFont="1" applyBorder="1" applyAlignment="1">
      <alignment horizontal="center" vertical="center"/>
    </xf>
    <xf numFmtId="0" fontId="47" fillId="0" borderId="1" xfId="0" applyFont="1" applyFill="1" applyBorder="1" applyAlignment="1">
      <alignment vertical="center"/>
    </xf>
    <xf numFmtId="0" fontId="47" fillId="0" borderId="1" xfId="0" applyFont="1" applyBorder="1" applyAlignment="1">
      <alignment horizontal="center" vertical="center"/>
    </xf>
    <xf numFmtId="0" fontId="47" fillId="0" borderId="1" xfId="0" applyNumberFormat="1" applyFont="1" applyFill="1" applyBorder="1" applyAlignment="1">
      <alignment horizontal="center" vertical="center"/>
    </xf>
    <xf numFmtId="0" fontId="152" fillId="0" borderId="10" xfId="0" applyFont="1" applyBorder="1" applyAlignment="1">
      <alignment horizontal="center" vertical="center"/>
    </xf>
    <xf numFmtId="0" fontId="152" fillId="0" borderId="1" xfId="0" applyFont="1" applyFill="1" applyBorder="1" applyAlignment="1">
      <alignment vertical="center"/>
    </xf>
    <xf numFmtId="0" fontId="152" fillId="0" borderId="1" xfId="0" applyFont="1" applyBorder="1" applyAlignment="1">
      <alignment horizontal="center" vertical="center"/>
    </xf>
    <xf numFmtId="0" fontId="152" fillId="0" borderId="1" xfId="0" applyNumberFormat="1" applyFont="1" applyFill="1" applyBorder="1" applyAlignment="1">
      <alignment horizontal="center" vertical="center"/>
    </xf>
    <xf numFmtId="0" fontId="152" fillId="0" borderId="8" xfId="0" applyNumberFormat="1" applyFont="1" applyFill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/>
    </xf>
    <xf numFmtId="164" fontId="102" fillId="0" borderId="9" xfId="2" applyFont="1" applyFill="1" applyBorder="1" applyAlignment="1" applyProtection="1">
      <alignment vertical="center"/>
      <protection locked="0" hidden="1"/>
    </xf>
    <xf numFmtId="164" fontId="102" fillId="0" borderId="10" xfId="2" applyFont="1" applyFill="1" applyBorder="1" applyAlignment="1" applyProtection="1">
      <alignment vertical="center"/>
      <protection locked="0" hidden="1"/>
    </xf>
    <xf numFmtId="171" fontId="106" fillId="0" borderId="8" xfId="2" applyNumberFormat="1" applyFont="1" applyFill="1" applyBorder="1" applyAlignment="1" applyProtection="1">
      <alignment horizontal="left" vertical="center"/>
      <protection locked="0" hidden="1"/>
    </xf>
    <xf numFmtId="0" fontId="153" fillId="0" borderId="10" xfId="0" applyFont="1" applyBorder="1" applyAlignment="1">
      <alignment horizontal="center" vertical="center"/>
    </xf>
    <xf numFmtId="0" fontId="0" fillId="2" borderId="0" xfId="0" applyFill="1" applyAlignment="1" applyProtection="1">
      <alignment horizontal="center" textRotation="90"/>
    </xf>
    <xf numFmtId="0" fontId="0" fillId="0" borderId="1" xfId="0" applyBorder="1" applyProtection="1"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1" fontId="79" fillId="0" borderId="0" xfId="0" applyNumberFormat="1" applyFont="1" applyFill="1" applyAlignment="1" applyProtection="1">
      <alignment horizontal="right" vertical="center"/>
      <protection locked="0" hidden="1"/>
    </xf>
    <xf numFmtId="0" fontId="104" fillId="0" borderId="10" xfId="0" applyFont="1" applyFill="1" applyBorder="1" applyAlignment="1">
      <alignment horizontal="center" vertical="center"/>
    </xf>
    <xf numFmtId="0" fontId="17" fillId="0" borderId="8" xfId="0" applyNumberFormat="1" applyFont="1" applyFill="1" applyBorder="1" applyAlignment="1">
      <alignment horizontal="center" vertical="center"/>
    </xf>
    <xf numFmtId="0" fontId="0" fillId="0" borderId="8" xfId="0" applyNumberFormat="1" applyFill="1" applyBorder="1" applyAlignment="1">
      <alignment horizontal="center" vertical="center"/>
    </xf>
    <xf numFmtId="0" fontId="107" fillId="0" borderId="3" xfId="0" applyFont="1" applyFill="1" applyBorder="1" applyAlignment="1">
      <alignment vertical="center"/>
    </xf>
    <xf numFmtId="0" fontId="154" fillId="0" borderId="9" xfId="0" applyFont="1" applyFill="1" applyBorder="1" applyAlignment="1" applyProtection="1">
      <alignment vertical="center"/>
      <protection hidden="1"/>
    </xf>
    <xf numFmtId="0" fontId="37" fillId="0" borderId="1" xfId="0" applyFont="1" applyFill="1" applyBorder="1" applyAlignment="1">
      <alignment horizontal="right" vertical="center"/>
    </xf>
    <xf numFmtId="172" fontId="1" fillId="0" borderId="10" xfId="2" applyNumberFormat="1" applyFont="1" applyBorder="1" applyAlignment="1">
      <alignment horizontal="center" vertical="center"/>
    </xf>
    <xf numFmtId="0" fontId="155" fillId="0" borderId="0" xfId="0" applyFont="1" applyFill="1" applyBorder="1" applyAlignment="1" applyProtection="1">
      <alignment horizontal="left" vertical="center"/>
      <protection locked="0" hidden="1"/>
    </xf>
    <xf numFmtId="0" fontId="17" fillId="0" borderId="21" xfId="0" applyFont="1" applyFill="1" applyBorder="1"/>
    <xf numFmtId="0" fontId="49" fillId="0" borderId="1" xfId="0" applyFont="1" applyBorder="1" applyAlignment="1" applyProtection="1">
      <alignment vertical="center" wrapText="1"/>
      <protection hidden="1"/>
    </xf>
    <xf numFmtId="173" fontId="49" fillId="0" borderId="1" xfId="0" applyNumberFormat="1" applyFont="1" applyBorder="1" applyAlignment="1" applyProtection="1">
      <alignment vertical="center"/>
      <protection hidden="1"/>
    </xf>
    <xf numFmtId="0" fontId="8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06" fillId="0" borderId="0" xfId="0" applyFont="1" applyFill="1" applyBorder="1" applyAlignment="1">
      <alignment horizontal="left" vertical="center"/>
    </xf>
    <xf numFmtId="0" fontId="49" fillId="0" borderId="0" xfId="0" applyFont="1" applyAlignment="1" applyProtection="1">
      <alignment horizontal="center" vertical="center" textRotation="90"/>
    </xf>
    <xf numFmtId="0" fontId="0" fillId="0" borderId="29" xfId="0" applyFont="1" applyFill="1" applyBorder="1"/>
    <xf numFmtId="0" fontId="101" fillId="0" borderId="0" xfId="0" applyFont="1" applyAlignment="1">
      <alignment horizontal="center" vertical="center" wrapText="1"/>
    </xf>
    <xf numFmtId="0" fontId="1" fillId="0" borderId="29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56" fillId="3" borderId="7" xfId="0" applyFont="1" applyFill="1" applyBorder="1" applyAlignment="1">
      <alignment horizontal="center" vertical="top" wrapText="1"/>
    </xf>
    <xf numFmtId="0" fontId="0" fillId="4" borderId="0" xfId="0" applyFont="1" applyFill="1" applyBorder="1"/>
    <xf numFmtId="0" fontId="157" fillId="0" borderId="0" xfId="0" applyFont="1"/>
    <xf numFmtId="0" fontId="1" fillId="0" borderId="42" xfId="0" applyFont="1" applyBorder="1"/>
    <xf numFmtId="0" fontId="1" fillId="0" borderId="43" xfId="0" applyFont="1" applyBorder="1"/>
    <xf numFmtId="0" fontId="1" fillId="0" borderId="45" xfId="0" applyFont="1" applyBorder="1"/>
    <xf numFmtId="0" fontId="1" fillId="0" borderId="41" xfId="0" applyFont="1" applyBorder="1"/>
    <xf numFmtId="0" fontId="1" fillId="0" borderId="47" xfId="0" applyFont="1" applyBorder="1"/>
    <xf numFmtId="0" fontId="18" fillId="0" borderId="42" xfId="0" applyFont="1" applyBorder="1"/>
    <xf numFmtId="0" fontId="18" fillId="0" borderId="43" xfId="0" applyFont="1" applyBorder="1"/>
    <xf numFmtId="0" fontId="18" fillId="0" borderId="41" xfId="0" applyFont="1" applyBorder="1"/>
    <xf numFmtId="0" fontId="18" fillId="0" borderId="47" xfId="0" applyFont="1" applyBorder="1"/>
    <xf numFmtId="0" fontId="4" fillId="0" borderId="42" xfId="0" applyFont="1" applyBorder="1"/>
    <xf numFmtId="0" fontId="4" fillId="0" borderId="43" xfId="0" applyFont="1" applyBorder="1"/>
    <xf numFmtId="0" fontId="4" fillId="0" borderId="41" xfId="0" applyFont="1" applyBorder="1"/>
    <xf numFmtId="0" fontId="4" fillId="0" borderId="47" xfId="0" applyFont="1" applyBorder="1"/>
    <xf numFmtId="43" fontId="1" fillId="0" borderId="60" xfId="0" applyNumberFormat="1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0" fillId="0" borderId="0" xfId="0" applyAlignment="1"/>
    <xf numFmtId="0" fontId="47" fillId="2" borderId="1" xfId="0" applyFont="1" applyFill="1" applyBorder="1" applyAlignment="1">
      <alignment horizontal="center"/>
    </xf>
    <xf numFmtId="172" fontId="1" fillId="0" borderId="1" xfId="2" applyNumberFormat="1" applyFont="1" applyBorder="1"/>
    <xf numFmtId="0" fontId="0" fillId="0" borderId="1" xfId="0" applyBorder="1" applyAlignment="1"/>
    <xf numFmtId="0" fontId="4" fillId="0" borderId="0" xfId="0" applyFont="1"/>
    <xf numFmtId="43" fontId="1" fillId="0" borderId="0" xfId="0" applyNumberFormat="1" applyFont="1" applyBorder="1" applyAlignment="1">
      <alignment horizontal="center" vertical="center"/>
    </xf>
    <xf numFmtId="0" fontId="156" fillId="3" borderId="0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7" fillId="1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NumberFormat="1"/>
    <xf numFmtId="0" fontId="47" fillId="2" borderId="10" xfId="0" applyFont="1" applyFill="1" applyBorder="1" applyAlignment="1">
      <alignment horizontal="center"/>
    </xf>
    <xf numFmtId="0" fontId="156" fillId="6" borderId="0" xfId="0" applyFont="1" applyFill="1" applyAlignment="1">
      <alignment horizontal="center" vertical="center" textRotation="90"/>
    </xf>
    <xf numFmtId="43" fontId="1" fillId="0" borderId="60" xfId="0" applyNumberFormat="1" applyFont="1" applyBorder="1" applyAlignment="1">
      <alignment vertical="center"/>
    </xf>
    <xf numFmtId="0" fontId="49" fillId="0" borderId="28" xfId="0" applyFont="1" applyBorder="1" applyAlignment="1">
      <alignment horizontal="center"/>
    </xf>
    <xf numFmtId="0" fontId="49" fillId="0" borderId="29" xfId="0" applyFont="1" applyBorder="1" applyAlignment="1">
      <alignment horizontal="center"/>
    </xf>
    <xf numFmtId="0" fontId="49" fillId="0" borderId="29" xfId="0" applyFont="1" applyFill="1" applyBorder="1" applyAlignment="1">
      <alignment horizontal="center"/>
    </xf>
    <xf numFmtId="0" fontId="49" fillId="2" borderId="1" xfId="0" applyFont="1" applyFill="1" applyBorder="1" applyAlignment="1"/>
    <xf numFmtId="164" fontId="49" fillId="0" borderId="0" xfId="2" applyFont="1" applyFill="1" applyAlignment="1" applyProtection="1">
      <alignment vertical="center"/>
    </xf>
    <xf numFmtId="0" fontId="156" fillId="3" borderId="4" xfId="0" applyFont="1" applyFill="1" applyBorder="1" applyAlignment="1" applyProtection="1">
      <alignment vertical="center"/>
      <protection hidden="1"/>
    </xf>
    <xf numFmtId="0" fontId="1" fillId="0" borderId="61" xfId="0" applyFont="1" applyBorder="1" applyAlignment="1">
      <alignment vertical="center"/>
    </xf>
    <xf numFmtId="0" fontId="160" fillId="0" borderId="0" xfId="4" applyFont="1" applyAlignment="1">
      <alignment wrapText="1"/>
    </xf>
    <xf numFmtId="0" fontId="162" fillId="0" borderId="1" xfId="5" applyFont="1" applyBorder="1" applyAlignment="1">
      <alignment vertical="center" wrapText="1"/>
    </xf>
    <xf numFmtId="0" fontId="163" fillId="0" borderId="1" xfId="5" applyFont="1" applyBorder="1" applyAlignment="1">
      <alignment horizontal="left" vertical="center"/>
    </xf>
    <xf numFmtId="2" fontId="163" fillId="0" borderId="1" xfId="5" applyNumberFormat="1" applyFont="1" applyBorder="1" applyAlignment="1">
      <alignment horizontal="center" vertical="center"/>
    </xf>
    <xf numFmtId="0" fontId="164" fillId="0" borderId="0" xfId="0" applyFont="1"/>
    <xf numFmtId="0" fontId="165" fillId="0" borderId="0" xfId="4" applyFont="1"/>
    <xf numFmtId="2" fontId="166" fillId="0" borderId="1" xfId="5" applyNumberFormat="1" applyFont="1" applyBorder="1" applyAlignment="1">
      <alignment horizontal="center" vertical="center"/>
    </xf>
    <xf numFmtId="0" fontId="163" fillId="0" borderId="3" xfId="5" applyFont="1" applyFill="1" applyBorder="1" applyAlignment="1">
      <alignment horizontal="left" vertical="center"/>
    </xf>
    <xf numFmtId="0" fontId="163" fillId="0" borderId="0" xfId="4" applyFont="1" applyFill="1"/>
    <xf numFmtId="0" fontId="47" fillId="2" borderId="1" xfId="0" applyFont="1" applyFill="1" applyBorder="1" applyAlignment="1">
      <alignment horizontal="left"/>
    </xf>
    <xf numFmtId="0" fontId="98" fillId="0" borderId="0" xfId="0" applyFont="1" applyAlignment="1">
      <alignment horizontal="left"/>
    </xf>
    <xf numFmtId="172" fontId="0" fillId="0" borderId="0" xfId="0" applyNumberFormat="1"/>
    <xf numFmtId="0" fontId="0" fillId="0" borderId="42" xfId="0" applyBorder="1"/>
    <xf numFmtId="0" fontId="49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49" fillId="0" borderId="0" xfId="0" applyFont="1" applyBorder="1" applyAlignment="1">
      <alignment horizontal="center"/>
    </xf>
    <xf numFmtId="0" fontId="49" fillId="0" borderId="0" xfId="0" applyFont="1" applyFill="1" applyBorder="1" applyAlignment="1">
      <alignment horizontal="center"/>
    </xf>
    <xf numFmtId="0" fontId="0" fillId="0" borderId="3" xfId="0" applyFill="1" applyBorder="1" applyAlignment="1">
      <alignment vertical="center"/>
    </xf>
    <xf numFmtId="0" fontId="123" fillId="0" borderId="10" xfId="0" applyFont="1" applyFill="1" applyBorder="1" applyAlignment="1">
      <alignment horizontal="center" vertical="center"/>
    </xf>
    <xf numFmtId="0" fontId="101" fillId="0" borderId="10" xfId="0" applyFont="1" applyBorder="1" applyAlignment="1">
      <alignment horizontal="center" vertical="center"/>
    </xf>
    <xf numFmtId="0" fontId="64" fillId="2" borderId="10" xfId="0" applyFont="1" applyFill="1" applyBorder="1" applyAlignment="1">
      <alignment horizontal="center" vertical="center"/>
    </xf>
    <xf numFmtId="0" fontId="17" fillId="12" borderId="1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114" fillId="0" borderId="1" xfId="0" applyFont="1" applyFill="1" applyBorder="1" applyAlignment="1">
      <alignment vertical="center"/>
    </xf>
    <xf numFmtId="0" fontId="158" fillId="0" borderId="1" xfId="0" applyFont="1" applyFill="1" applyBorder="1" applyAlignment="1">
      <alignment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7" fillId="12" borderId="1" xfId="0" applyNumberFormat="1" applyFont="1" applyFill="1" applyBorder="1" applyAlignment="1">
      <alignment horizontal="center" vertical="center"/>
    </xf>
    <xf numFmtId="0" fontId="49" fillId="0" borderId="1" xfId="0" applyNumberFormat="1" applyFont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47" fillId="0" borderId="8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1" fillId="0" borderId="10" xfId="0" applyFont="1" applyFill="1" applyBorder="1" applyAlignment="1" applyProtection="1">
      <alignment vertical="center"/>
      <protection hidden="1"/>
    </xf>
    <xf numFmtId="0" fontId="144" fillId="0" borderId="8" xfId="0" applyFont="1" applyFill="1" applyBorder="1" applyAlignment="1" applyProtection="1">
      <alignment horizontal="left" vertical="center"/>
      <protection hidden="1"/>
    </xf>
    <xf numFmtId="0" fontId="26" fillId="0" borderId="13" xfId="0" applyFont="1" applyFill="1" applyBorder="1" applyAlignment="1" applyProtection="1">
      <alignment horizontal="left" vertical="center"/>
      <protection hidden="1"/>
    </xf>
    <xf numFmtId="0" fontId="8" fillId="0" borderId="8" xfId="0" applyFont="1" applyFill="1" applyBorder="1" applyAlignment="1" applyProtection="1">
      <alignment horizontal="left" vertical="center"/>
      <protection hidden="1"/>
    </xf>
    <xf numFmtId="0" fontId="21" fillId="0" borderId="10" xfId="0" applyFont="1" applyFill="1" applyBorder="1" applyAlignment="1" applyProtection="1">
      <alignment horizontal="left" vertical="center"/>
      <protection hidden="1"/>
    </xf>
    <xf numFmtId="1" fontId="1" fillId="0" borderId="1" xfId="0" applyNumberFormat="1" applyFont="1" applyBorder="1" applyAlignment="1">
      <alignment horizontal="center" vertical="center"/>
    </xf>
    <xf numFmtId="0" fontId="101" fillId="0" borderId="10" xfId="0" applyFont="1" applyBorder="1" applyAlignment="1">
      <alignment horizontal="left" vertical="center"/>
    </xf>
    <xf numFmtId="0" fontId="49" fillId="0" borderId="10" xfId="0" applyFont="1" applyFill="1" applyBorder="1" applyAlignment="1">
      <alignment horizontal="left" vertical="center"/>
    </xf>
    <xf numFmtId="0" fontId="82" fillId="0" borderId="8" xfId="0" applyFont="1" applyFill="1" applyBorder="1" applyAlignment="1" applyProtection="1">
      <alignment horizontal="left" vertical="center" indent="1"/>
      <protection hidden="1"/>
    </xf>
    <xf numFmtId="49" fontId="52" fillId="0" borderId="9" xfId="0" applyNumberFormat="1" applyFont="1" applyFill="1" applyBorder="1" applyAlignment="1" applyProtection="1">
      <alignment horizontal="center" vertical="center"/>
      <protection locked="0" hidden="1"/>
    </xf>
    <xf numFmtId="0" fontId="144" fillId="0" borderId="16" xfId="0" applyFont="1" applyFill="1" applyBorder="1" applyAlignment="1" applyProtection="1">
      <alignment horizontal="left" vertical="center"/>
      <protection hidden="1"/>
    </xf>
    <xf numFmtId="0" fontId="143" fillId="0" borderId="13" xfId="0" applyFont="1" applyFill="1" applyBorder="1" applyAlignment="1" applyProtection="1">
      <alignment vertical="center"/>
      <protection hidden="1"/>
    </xf>
    <xf numFmtId="0" fontId="41" fillId="0" borderId="31" xfId="0" applyFont="1" applyFill="1" applyBorder="1" applyAlignment="1" applyProtection="1">
      <alignment vertical="center"/>
      <protection hidden="1"/>
    </xf>
    <xf numFmtId="0" fontId="41" fillId="0" borderId="0" xfId="0" applyFont="1" applyFill="1" applyBorder="1" applyAlignment="1" applyProtection="1">
      <alignment vertical="center"/>
      <protection hidden="1"/>
    </xf>
    <xf numFmtId="1" fontId="81" fillId="0" borderId="9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left" vertical="center"/>
      <protection hidden="1"/>
    </xf>
    <xf numFmtId="0" fontId="88" fillId="0" borderId="0" xfId="0" applyFont="1" applyFill="1" applyBorder="1" applyAlignment="1" applyProtection="1">
      <alignment horizontal="left" vertical="center"/>
      <protection locked="0"/>
    </xf>
    <xf numFmtId="0" fontId="41" fillId="0" borderId="15" xfId="0" applyFont="1" applyFill="1" applyBorder="1" applyAlignment="1">
      <alignment vertical="center"/>
    </xf>
    <xf numFmtId="0" fontId="82" fillId="0" borderId="8" xfId="0" applyFont="1" applyFill="1" applyBorder="1" applyAlignment="1" applyProtection="1">
      <alignment horizontal="left" vertical="center" indent="2"/>
      <protection hidden="1"/>
    </xf>
    <xf numFmtId="49" fontId="52" fillId="0" borderId="10" xfId="0" applyNumberFormat="1" applyFont="1" applyFill="1" applyBorder="1" applyAlignment="1" applyProtection="1">
      <alignment horizontal="left" vertical="center"/>
      <protection locked="0" hidden="1"/>
    </xf>
    <xf numFmtId="0" fontId="82" fillId="0" borderId="9" xfId="0" applyFont="1" applyFill="1" applyBorder="1" applyAlignment="1" applyProtection="1">
      <alignment horizontal="left" vertical="center" indent="1"/>
      <protection hidden="1"/>
    </xf>
    <xf numFmtId="2" fontId="101" fillId="0" borderId="0" xfId="0" applyNumberFormat="1" applyFont="1" applyFill="1" applyBorder="1" applyAlignment="1" applyProtection="1">
      <alignment vertical="center"/>
      <protection hidden="1"/>
    </xf>
    <xf numFmtId="174" fontId="1" fillId="0" borderId="0" xfId="2" applyNumberFormat="1" applyFont="1" applyProtection="1">
      <protection locked="0"/>
    </xf>
    <xf numFmtId="165" fontId="0" fillId="0" borderId="1" xfId="0" applyNumberFormat="1" applyBorder="1"/>
    <xf numFmtId="165" fontId="0" fillId="0" borderId="46" xfId="0" applyNumberFormat="1" applyBorder="1"/>
    <xf numFmtId="175" fontId="0" fillId="0" borderId="41" xfId="0" applyNumberFormat="1" applyBorder="1"/>
    <xf numFmtId="2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2" fontId="0" fillId="0" borderId="20" xfId="0" applyNumberFormat="1" applyBorder="1" applyAlignment="1">
      <alignment horizontal="left"/>
    </xf>
    <xf numFmtId="2" fontId="7" fillId="0" borderId="1" xfId="0" applyNumberFormat="1" applyFont="1" applyFill="1" applyBorder="1" applyAlignment="1" applyProtection="1">
      <alignment horizontal="center" vertical="center"/>
      <protection hidden="1"/>
    </xf>
    <xf numFmtId="0" fontId="39" fillId="0" borderId="1" xfId="0" applyFont="1" applyFill="1" applyBorder="1" applyAlignment="1" applyProtection="1">
      <alignment horizontal="left" vertical="center"/>
      <protection locked="0" hidden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2" fontId="49" fillId="0" borderId="0" xfId="0" applyNumberFormat="1" applyFont="1" applyFill="1" applyBorder="1" applyAlignment="1" applyProtection="1">
      <alignment horizontal="center" vertical="center"/>
      <protection locked="0" hidden="1"/>
    </xf>
    <xf numFmtId="0" fontId="168" fillId="0" borderId="1" xfId="5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01" fillId="0" borderId="1" xfId="0" applyFont="1" applyFill="1" applyBorder="1" applyAlignment="1">
      <alignment horizontal="center" vertical="center"/>
    </xf>
    <xf numFmtId="0" fontId="49" fillId="0" borderId="10" xfId="0" applyFont="1" applyBorder="1" applyAlignment="1">
      <alignment horizontal="left" vertical="center"/>
    </xf>
    <xf numFmtId="0" fontId="169" fillId="2" borderId="1" xfId="5" applyFont="1" applyFill="1" applyBorder="1" applyAlignment="1">
      <alignment horizontal="left" vertical="center"/>
    </xf>
    <xf numFmtId="2" fontId="169" fillId="0" borderId="1" xfId="5" applyNumberFormat="1" applyFont="1" applyBorder="1" applyAlignment="1">
      <alignment horizontal="center" vertical="center"/>
    </xf>
    <xf numFmtId="0" fontId="170" fillId="0" borderId="1" xfId="5" applyFont="1" applyFill="1" applyBorder="1" applyAlignment="1">
      <alignment horizontal="left" vertical="center"/>
    </xf>
    <xf numFmtId="0" fontId="171" fillId="0" borderId="0" xfId="0" applyFont="1"/>
    <xf numFmtId="0" fontId="172" fillId="0" borderId="0" xfId="0" applyFont="1" applyBorder="1" applyAlignment="1">
      <alignment horizontal="center"/>
    </xf>
    <xf numFmtId="0" fontId="4" fillId="4" borderId="39" xfId="0" applyFont="1" applyFill="1" applyBorder="1"/>
    <xf numFmtId="0" fontId="172" fillId="0" borderId="29" xfId="0" applyFont="1" applyBorder="1" applyAlignment="1">
      <alignment horizontal="center"/>
    </xf>
    <xf numFmtId="0" fontId="4" fillId="0" borderId="39" xfId="0" applyFont="1" applyFill="1" applyBorder="1"/>
    <xf numFmtId="2" fontId="49" fillId="2" borderId="1" xfId="0" applyNumberFormat="1" applyFont="1" applyFill="1" applyBorder="1" applyAlignment="1"/>
    <xf numFmtId="2" fontId="117" fillId="2" borderId="1" xfId="0" applyNumberFormat="1" applyFont="1" applyFill="1" applyBorder="1" applyAlignment="1"/>
    <xf numFmtId="2" fontId="49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right"/>
    </xf>
    <xf numFmtId="2" fontId="1" fillId="2" borderId="0" xfId="0" applyNumberFormat="1" applyFont="1" applyFill="1"/>
    <xf numFmtId="0" fontId="18" fillId="0" borderId="0" xfId="0" applyFont="1"/>
    <xf numFmtId="0" fontId="18" fillId="0" borderId="0" xfId="0" applyFont="1" applyFill="1"/>
    <xf numFmtId="0" fontId="0" fillId="2" borderId="0" xfId="0" applyFill="1"/>
    <xf numFmtId="0" fontId="17" fillId="2" borderId="0" xfId="0" applyFont="1" applyFill="1"/>
    <xf numFmtId="0" fontId="18" fillId="2" borderId="0" xfId="0" applyFont="1" applyFill="1"/>
    <xf numFmtId="0" fontId="173" fillId="0" borderId="62" xfId="0" applyFont="1" applyFill="1" applyBorder="1" applyAlignment="1">
      <alignment horizontal="left" vertical="top" wrapText="1"/>
    </xf>
    <xf numFmtId="0" fontId="0" fillId="0" borderId="0" xfId="0" applyNumberForma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 applyBorder="1" applyAlignment="1">
      <alignment horizontal="left" vertical="center"/>
    </xf>
    <xf numFmtId="0" fontId="0" fillId="0" borderId="53" xfId="0" applyBorder="1"/>
    <xf numFmtId="0" fontId="0" fillId="0" borderId="63" xfId="0" applyBorder="1"/>
    <xf numFmtId="0" fontId="0" fillId="0" borderId="63" xfId="0" applyFill="1" applyBorder="1"/>
    <xf numFmtId="0" fontId="49" fillId="2" borderId="10" xfId="0" applyNumberFormat="1" applyFont="1" applyFill="1" applyBorder="1" applyAlignment="1">
      <alignment horizontal="left" vertical="center"/>
    </xf>
    <xf numFmtId="0" fontId="151" fillId="0" borderId="10" xfId="0" applyFont="1" applyFill="1" applyBorder="1" applyAlignment="1">
      <alignment horizontal="center" vertical="center"/>
    </xf>
    <xf numFmtId="0" fontId="107" fillId="0" borderId="1" xfId="0" applyFont="1" applyFill="1" applyBorder="1" applyAlignment="1">
      <alignment vertical="center"/>
    </xf>
    <xf numFmtId="0" fontId="1" fillId="0" borderId="8" xfId="0" applyNumberFormat="1" applyFont="1" applyFill="1" applyBorder="1" applyAlignment="1">
      <alignment horizontal="center" vertical="center"/>
    </xf>
    <xf numFmtId="0" fontId="174" fillId="0" borderId="1" xfId="5" applyFont="1" applyFill="1" applyBorder="1" applyAlignment="1">
      <alignment horizontal="left" vertical="center"/>
    </xf>
    <xf numFmtId="0" fontId="106" fillId="0" borderId="16" xfId="0" applyFont="1" applyFill="1" applyBorder="1" applyAlignment="1" applyProtection="1">
      <alignment horizontal="left" vertical="center"/>
      <protection hidden="1"/>
    </xf>
    <xf numFmtId="0" fontId="130" fillId="0" borderId="0" xfId="0" applyFont="1" applyFill="1" applyBorder="1" applyAlignment="1" applyProtection="1">
      <alignment horizontal="left" vertical="center"/>
      <protection locked="0" hidden="1"/>
    </xf>
    <xf numFmtId="0" fontId="2" fillId="0" borderId="17" xfId="0" applyFont="1" applyBorder="1"/>
    <xf numFmtId="0" fontId="175" fillId="0" borderId="1" xfId="0" applyFont="1" applyFill="1" applyBorder="1" applyAlignment="1" applyProtection="1">
      <alignment horizontal="center" vertical="center"/>
      <protection locked="0" hidden="1"/>
    </xf>
    <xf numFmtId="0" fontId="31" fillId="0" borderId="1" xfId="0" applyFont="1" applyFill="1" applyBorder="1" applyAlignment="1" applyProtection="1">
      <alignment horizontal="left" vertical="center" indent="1"/>
      <protection locked="0" hidden="1"/>
    </xf>
    <xf numFmtId="0" fontId="0" fillId="10" borderId="10" xfId="0" applyFill="1" applyBorder="1" applyAlignment="1">
      <alignment horizontal="center" vertical="center"/>
    </xf>
    <xf numFmtId="0" fontId="0" fillId="10" borderId="1" xfId="0" applyNumberFormat="1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1" fontId="17" fillId="10" borderId="1" xfId="0" applyNumberFormat="1" applyFon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0" borderId="8" xfId="0" applyNumberFormat="1" applyFill="1" applyBorder="1" applyAlignment="1">
      <alignment horizontal="center" vertical="center"/>
    </xf>
    <xf numFmtId="0" fontId="102" fillId="0" borderId="14" xfId="0" applyFont="1" applyFill="1" applyBorder="1" applyAlignment="1" applyProtection="1">
      <alignment horizontal="center" vertical="center"/>
      <protection locked="0"/>
    </xf>
    <xf numFmtId="0" fontId="102" fillId="0" borderId="10" xfId="0" applyFont="1" applyFill="1" applyBorder="1" applyAlignment="1" applyProtection="1">
      <alignment horizontal="center" vertical="center"/>
      <protection locked="0"/>
    </xf>
    <xf numFmtId="0" fontId="130" fillId="0" borderId="8" xfId="0" applyNumberFormat="1" applyFont="1" applyFill="1" applyBorder="1" applyAlignment="1" applyProtection="1">
      <alignment horizontal="left" vertical="center"/>
      <protection locked="0"/>
    </xf>
    <xf numFmtId="0" fontId="130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9" fillId="0" borderId="1" xfId="0" applyFont="1" applyBorder="1" applyAlignment="1">
      <alignment horizontal="left" vertical="center"/>
    </xf>
    <xf numFmtId="0" fontId="86" fillId="0" borderId="2" xfId="0" applyFont="1" applyFill="1" applyBorder="1" applyAlignment="1" applyProtection="1">
      <alignment horizontal="left" vertical="center"/>
      <protection locked="0" hidden="1"/>
    </xf>
    <xf numFmtId="0" fontId="108" fillId="0" borderId="16" xfId="0" applyFont="1" applyFill="1" applyBorder="1" applyAlignment="1" applyProtection="1">
      <alignment horizontal="center" vertical="center" wrapText="1"/>
      <protection hidden="1"/>
    </xf>
    <xf numFmtId="0" fontId="108" fillId="0" borderId="0" xfId="0" applyFont="1" applyFill="1" applyAlignment="1" applyProtection="1">
      <alignment horizontal="center" vertical="center" wrapText="1"/>
      <protection hidden="1"/>
    </xf>
    <xf numFmtId="0" fontId="131" fillId="0" borderId="16" xfId="0" applyFont="1" applyFill="1" applyBorder="1" applyAlignment="1" applyProtection="1">
      <alignment horizontal="center" vertical="center" wrapText="1"/>
      <protection hidden="1"/>
    </xf>
    <xf numFmtId="0" fontId="131" fillId="0" borderId="0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left" vertical="center" textRotation="90"/>
    </xf>
    <xf numFmtId="0" fontId="18" fillId="0" borderId="0" xfId="0" applyFont="1" applyFill="1" applyAlignment="1">
      <alignment horizontal="left" vertical="center" wrapText="1"/>
    </xf>
    <xf numFmtId="0" fontId="94" fillId="0" borderId="0" xfId="0" applyFont="1" applyFill="1" applyAlignment="1">
      <alignment horizontal="left" vertical="center" wrapText="1"/>
    </xf>
    <xf numFmtId="0" fontId="91" fillId="0" borderId="0" xfId="0" applyFont="1" applyFill="1" applyBorder="1" applyAlignment="1" applyProtection="1">
      <alignment horizontal="center" vertical="center" wrapText="1"/>
      <protection locked="0" hidden="1"/>
    </xf>
    <xf numFmtId="0" fontId="91" fillId="0" borderId="7" xfId="0" applyFont="1" applyFill="1" applyBorder="1" applyAlignment="1" applyProtection="1">
      <alignment horizontal="center" vertical="center" wrapText="1"/>
      <protection locked="0" hidden="1"/>
    </xf>
    <xf numFmtId="0" fontId="91" fillId="0" borderId="9" xfId="0" applyFont="1" applyFill="1" applyBorder="1" applyAlignment="1" applyProtection="1">
      <alignment horizontal="center" vertical="center" wrapText="1"/>
      <protection locked="0" hidden="1"/>
    </xf>
    <xf numFmtId="0" fontId="91" fillId="0" borderId="10" xfId="0" applyFont="1" applyFill="1" applyBorder="1" applyAlignment="1" applyProtection="1">
      <alignment horizontal="center" vertical="center" wrapText="1"/>
      <protection locked="0" hidden="1"/>
    </xf>
    <xf numFmtId="0" fontId="106" fillId="0" borderId="16" xfId="0" applyFont="1" applyFill="1" applyBorder="1" applyAlignment="1" applyProtection="1">
      <alignment horizontal="left" vertical="center"/>
      <protection hidden="1"/>
    </xf>
    <xf numFmtId="0" fontId="106" fillId="0" borderId="0" xfId="0" applyFont="1" applyFill="1" applyBorder="1" applyAlignment="1" applyProtection="1">
      <alignment horizontal="left" vertical="center"/>
      <protection hidden="1"/>
    </xf>
    <xf numFmtId="0" fontId="106" fillId="0" borderId="31" xfId="0" applyFont="1" applyFill="1" applyBorder="1" applyAlignment="1" applyProtection="1">
      <alignment horizontal="left" vertical="center"/>
      <protection hidden="1"/>
    </xf>
    <xf numFmtId="0" fontId="106" fillId="0" borderId="12" xfId="0" applyFont="1" applyFill="1" applyBorder="1" applyAlignment="1" applyProtection="1">
      <alignment horizontal="left" vertical="center"/>
      <protection hidden="1"/>
    </xf>
    <xf numFmtId="0" fontId="106" fillId="0" borderId="7" xfId="0" applyFont="1" applyFill="1" applyBorder="1" applyAlignment="1" applyProtection="1">
      <alignment horizontal="left" vertical="center"/>
      <protection hidden="1"/>
    </xf>
    <xf numFmtId="0" fontId="106" fillId="0" borderId="15" xfId="0" applyFont="1" applyFill="1" applyBorder="1" applyAlignment="1" applyProtection="1">
      <alignment horizontal="left" vertical="center"/>
      <protection hidden="1"/>
    </xf>
    <xf numFmtId="0" fontId="68" fillId="0" borderId="8" xfId="0" applyFont="1" applyFill="1" applyBorder="1" applyAlignment="1" applyProtection="1">
      <alignment horizontal="center" vertical="center"/>
      <protection locked="0" hidden="1"/>
    </xf>
    <xf numFmtId="0" fontId="68" fillId="0" borderId="10" xfId="0" applyFont="1" applyFill="1" applyBorder="1" applyAlignment="1" applyProtection="1">
      <alignment horizontal="center" vertical="center"/>
      <protection locked="0" hidden="1"/>
    </xf>
    <xf numFmtId="0" fontId="106" fillId="0" borderId="8" xfId="0" applyFont="1" applyFill="1" applyBorder="1" applyAlignment="1" applyProtection="1">
      <alignment horizontal="right" vertical="center" wrapText="1"/>
      <protection hidden="1"/>
    </xf>
    <xf numFmtId="0" fontId="106" fillId="0" borderId="9" xfId="0" applyFont="1" applyFill="1" applyBorder="1" applyAlignment="1" applyProtection="1">
      <alignment horizontal="right" vertical="center" wrapText="1"/>
      <protection hidden="1"/>
    </xf>
    <xf numFmtId="0" fontId="125" fillId="0" borderId="9" xfId="0" applyFont="1" applyFill="1" applyBorder="1" applyAlignment="1" applyProtection="1">
      <alignment horizontal="center" vertical="center" wrapText="1"/>
      <protection locked="0"/>
    </xf>
    <xf numFmtId="0" fontId="125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left" vertical="center"/>
    </xf>
    <xf numFmtId="0" fontId="8" fillId="0" borderId="8" xfId="0" applyFont="1" applyFill="1" applyBorder="1" applyAlignment="1" applyProtection="1">
      <alignment horizontal="center" vertical="center"/>
      <protection hidden="1"/>
    </xf>
    <xf numFmtId="0" fontId="8" fillId="0" borderId="1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right" vertical="center"/>
      <protection hidden="1"/>
    </xf>
    <xf numFmtId="0" fontId="79" fillId="0" borderId="8" xfId="0" applyFont="1" applyFill="1" applyBorder="1" applyAlignment="1" applyProtection="1">
      <alignment horizontal="center" vertical="center"/>
      <protection locked="0" hidden="1"/>
    </xf>
    <xf numFmtId="0" fontId="79" fillId="0" borderId="10" xfId="0" applyFont="1" applyFill="1" applyBorder="1" applyAlignment="1" applyProtection="1">
      <alignment horizontal="center" vertical="center"/>
      <protection locked="0" hidden="1"/>
    </xf>
    <xf numFmtId="0" fontId="8" fillId="0" borderId="0" xfId="0" applyFont="1" applyFill="1" applyAlignment="1" applyProtection="1">
      <alignment horizontal="right" vertical="center" wrapText="1"/>
      <protection hidden="1"/>
    </xf>
    <xf numFmtId="0" fontId="74" fillId="0" borderId="0" xfId="0" applyFont="1" applyFill="1" applyAlignment="1" applyProtection="1">
      <alignment horizontal="center" vertical="center"/>
      <protection hidden="1"/>
    </xf>
    <xf numFmtId="0" fontId="68" fillId="0" borderId="11" xfId="0" applyFont="1" applyFill="1" applyBorder="1" applyAlignment="1" applyProtection="1">
      <alignment horizontal="center" vertical="center"/>
      <protection locked="0" hidden="1"/>
    </xf>
    <xf numFmtId="0" fontId="68" fillId="0" borderId="14" xfId="0" applyFont="1" applyFill="1" applyBorder="1" applyAlignment="1" applyProtection="1">
      <alignment horizontal="center" vertical="center"/>
      <protection locked="0" hidden="1"/>
    </xf>
    <xf numFmtId="0" fontId="8" fillId="0" borderId="0" xfId="0" applyFont="1" applyFill="1" applyBorder="1" applyAlignment="1" applyProtection="1">
      <alignment horizontal="right" vertical="center" wrapText="1"/>
      <protection hidden="1"/>
    </xf>
    <xf numFmtId="0" fontId="85" fillId="0" borderId="9" xfId="0" applyFont="1" applyFill="1" applyBorder="1" applyAlignment="1" applyProtection="1">
      <alignment horizontal="left" vertical="center" wrapText="1"/>
      <protection locked="0" hidden="1"/>
    </xf>
    <xf numFmtId="0" fontId="85" fillId="0" borderId="10" xfId="0" applyFont="1" applyFill="1" applyBorder="1" applyAlignment="1" applyProtection="1">
      <alignment horizontal="left" vertical="center" wrapText="1"/>
      <protection locked="0" hidden="1"/>
    </xf>
    <xf numFmtId="0" fontId="125" fillId="0" borderId="7" xfId="0" applyFont="1" applyFill="1" applyBorder="1" applyAlignment="1" applyProtection="1">
      <alignment horizontal="center" vertical="center" wrapText="1"/>
      <protection locked="0"/>
    </xf>
    <xf numFmtId="0" fontId="125" fillId="0" borderId="15" xfId="0" applyFont="1" applyFill="1" applyBorder="1" applyAlignment="1" applyProtection="1">
      <alignment horizontal="center" vertical="center" wrapText="1"/>
      <protection locked="0"/>
    </xf>
    <xf numFmtId="0" fontId="43" fillId="0" borderId="9" xfId="0" applyFont="1" applyFill="1" applyBorder="1" applyAlignment="1" applyProtection="1">
      <alignment horizontal="center" vertical="center"/>
      <protection locked="0" hidden="1"/>
    </xf>
    <xf numFmtId="0" fontId="43" fillId="0" borderId="10" xfId="0" applyFont="1" applyFill="1" applyBorder="1" applyAlignment="1" applyProtection="1">
      <alignment horizontal="center" vertical="center"/>
      <protection locked="0" hidden="1"/>
    </xf>
    <xf numFmtId="0" fontId="91" fillId="0" borderId="8" xfId="0" applyFont="1" applyFill="1" applyBorder="1" applyAlignment="1" applyProtection="1">
      <alignment horizontal="center" vertical="center" wrapText="1"/>
      <protection locked="0" hidden="1"/>
    </xf>
    <xf numFmtId="0" fontId="8" fillId="0" borderId="9" xfId="0" applyFont="1" applyFill="1" applyBorder="1" applyAlignment="1" applyProtection="1">
      <alignment horizontal="center" vertical="center"/>
      <protection hidden="1"/>
    </xf>
    <xf numFmtId="0" fontId="137" fillId="0" borderId="16" xfId="0" applyFont="1" applyBorder="1" applyAlignment="1" applyProtection="1">
      <alignment horizontal="center" vertical="center" wrapText="1"/>
      <protection locked="0" hidden="1"/>
    </xf>
    <xf numFmtId="0" fontId="137" fillId="0" borderId="0" xfId="0" applyFont="1" applyBorder="1" applyAlignment="1" applyProtection="1">
      <alignment horizontal="center" vertical="center" wrapText="1"/>
      <protection locked="0" hidden="1"/>
    </xf>
    <xf numFmtId="0" fontId="137" fillId="0" borderId="31" xfId="0" applyFont="1" applyBorder="1" applyAlignment="1" applyProtection="1">
      <alignment horizontal="center" vertical="center" wrapText="1"/>
      <protection locked="0" hidden="1"/>
    </xf>
    <xf numFmtId="0" fontId="137" fillId="0" borderId="12" xfId="0" applyFont="1" applyBorder="1" applyAlignment="1" applyProtection="1">
      <alignment horizontal="center" vertical="center" wrapText="1"/>
      <protection locked="0" hidden="1"/>
    </xf>
    <xf numFmtId="0" fontId="137" fillId="0" borderId="7" xfId="0" applyFont="1" applyBorder="1" applyAlignment="1" applyProtection="1">
      <alignment horizontal="center" vertical="center" wrapText="1"/>
      <protection locked="0" hidden="1"/>
    </xf>
    <xf numFmtId="0" fontId="137" fillId="0" borderId="15" xfId="0" applyFont="1" applyBorder="1" applyAlignment="1" applyProtection="1">
      <alignment horizontal="center" vertical="center" wrapText="1"/>
      <protection locked="0" hidden="1"/>
    </xf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170" fontId="49" fillId="0" borderId="3" xfId="0" applyNumberFormat="1" applyFont="1" applyBorder="1" applyAlignment="1" applyProtection="1">
      <alignment horizontal="center" vertical="center"/>
      <protection hidden="1"/>
    </xf>
    <xf numFmtId="170" fontId="49" fillId="0" borderId="4" xfId="0" applyNumberFormat="1" applyFont="1" applyBorder="1" applyAlignment="1" applyProtection="1">
      <alignment horizontal="center" vertical="center"/>
      <protection hidden="1"/>
    </xf>
    <xf numFmtId="0" fontId="132" fillId="0" borderId="3" xfId="0" applyFont="1" applyFill="1" applyBorder="1" applyAlignment="1" applyProtection="1">
      <alignment horizontal="left" vertical="center" wrapText="1"/>
      <protection hidden="1"/>
    </xf>
    <xf numFmtId="0" fontId="78" fillId="0" borderId="4" xfId="0" applyFont="1" applyFill="1" applyBorder="1" applyAlignment="1" applyProtection="1">
      <alignment horizontal="left" vertical="center" wrapText="1"/>
      <protection hidden="1"/>
    </xf>
    <xf numFmtId="170" fontId="49" fillId="0" borderId="1" xfId="0" applyNumberFormat="1" applyFont="1" applyBorder="1" applyAlignment="1" applyProtection="1">
      <alignment horizontal="center" vertical="center" textRotation="90"/>
      <protection hidden="1"/>
    </xf>
    <xf numFmtId="170" fontId="49" fillId="0" borderId="1" xfId="0" applyNumberFormat="1" applyFont="1" applyBorder="1" applyAlignment="1" applyProtection="1">
      <alignment horizontal="center" vertical="center"/>
      <protection hidden="1"/>
    </xf>
    <xf numFmtId="0" fontId="132" fillId="0" borderId="1" xfId="0" applyFont="1" applyFill="1" applyBorder="1" applyAlignment="1" applyProtection="1">
      <alignment horizontal="left" vertical="center" wrapText="1"/>
      <protection hidden="1"/>
    </xf>
    <xf numFmtId="0" fontId="78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5" fillId="0" borderId="32" xfId="0" applyFont="1" applyBorder="1" applyAlignment="1">
      <alignment horizontal="center" vertical="center" textRotation="90"/>
    </xf>
    <xf numFmtId="0" fontId="35" fillId="0" borderId="33" xfId="0" applyFont="1" applyBorder="1" applyAlignment="1">
      <alignment horizontal="center" vertical="center" textRotation="90"/>
    </xf>
    <xf numFmtId="0" fontId="35" fillId="0" borderId="16" xfId="0" applyFont="1" applyBorder="1" applyAlignment="1">
      <alignment horizontal="center" vertical="center" textRotation="90"/>
    </xf>
    <xf numFmtId="0" fontId="35" fillId="0" borderId="31" xfId="0" applyFont="1" applyBorder="1" applyAlignment="1">
      <alignment horizontal="center" vertical="center" textRotation="90"/>
    </xf>
    <xf numFmtId="0" fontId="35" fillId="0" borderId="34" xfId="0" applyFont="1" applyBorder="1" applyAlignment="1">
      <alignment horizontal="center" vertical="center" textRotation="90"/>
    </xf>
    <xf numFmtId="0" fontId="35" fillId="0" borderId="35" xfId="0" applyFont="1" applyBorder="1" applyAlignment="1">
      <alignment horizontal="center" vertical="center" textRotation="90"/>
    </xf>
    <xf numFmtId="0" fontId="34" fillId="0" borderId="32" xfId="0" applyFont="1" applyBorder="1" applyAlignment="1">
      <alignment horizontal="center" vertical="center" textRotation="90"/>
    </xf>
    <xf numFmtId="0" fontId="34" fillId="0" borderId="33" xfId="0" applyFont="1" applyBorder="1" applyAlignment="1">
      <alignment horizontal="center" vertical="center" textRotation="90"/>
    </xf>
    <xf numFmtId="0" fontId="34" fillId="0" borderId="16" xfId="0" applyFont="1" applyBorder="1" applyAlignment="1">
      <alignment horizontal="center" vertical="center" textRotation="90"/>
    </xf>
    <xf numFmtId="0" fontId="34" fillId="0" borderId="31" xfId="0" applyFont="1" applyBorder="1" applyAlignment="1">
      <alignment horizontal="center" vertical="center" textRotation="90"/>
    </xf>
    <xf numFmtId="0" fontId="34" fillId="0" borderId="34" xfId="0" applyFont="1" applyBorder="1" applyAlignment="1">
      <alignment horizontal="center" vertical="center" textRotation="90"/>
    </xf>
    <xf numFmtId="0" fontId="34" fillId="0" borderId="35" xfId="0" applyFont="1" applyBorder="1" applyAlignment="1">
      <alignment horizontal="center" vertical="center" textRotation="90"/>
    </xf>
    <xf numFmtId="0" fontId="35" fillId="0" borderId="24" xfId="0" applyFont="1" applyBorder="1" applyAlignment="1">
      <alignment horizontal="center" vertical="center" textRotation="90"/>
    </xf>
    <xf numFmtId="0" fontId="35" fillId="0" borderId="21" xfId="0" applyFont="1" applyBorder="1" applyAlignment="1">
      <alignment horizontal="center" vertical="center" textRotation="90"/>
    </xf>
    <xf numFmtId="0" fontId="35" fillId="0" borderId="19" xfId="0" applyFont="1" applyBorder="1" applyAlignment="1">
      <alignment horizontal="center" vertical="center" textRotation="90"/>
    </xf>
    <xf numFmtId="0" fontId="35" fillId="0" borderId="22" xfId="0" applyFont="1" applyBorder="1" applyAlignment="1">
      <alignment horizontal="center" vertical="center" textRotation="90"/>
    </xf>
    <xf numFmtId="0" fontId="35" fillId="0" borderId="20" xfId="0" applyFont="1" applyBorder="1" applyAlignment="1">
      <alignment horizontal="center" vertical="center" textRotation="90"/>
    </xf>
    <xf numFmtId="0" fontId="35" fillId="0" borderId="17" xfId="0" applyFont="1" applyBorder="1" applyAlignment="1">
      <alignment horizontal="center" vertical="center" textRotation="90"/>
    </xf>
    <xf numFmtId="0" fontId="101" fillId="0" borderId="0" xfId="0" applyFont="1" applyAlignment="1">
      <alignment horizontal="center" wrapText="1"/>
    </xf>
    <xf numFmtId="0" fontId="98" fillId="0" borderId="7" xfId="0" applyFont="1" applyBorder="1" applyAlignment="1">
      <alignment horizontal="center"/>
    </xf>
    <xf numFmtId="0" fontId="1" fillId="11" borderId="0" xfId="0" applyFont="1" applyFill="1" applyAlignment="1">
      <alignment horizontal="center" vertical="center" textRotation="90"/>
    </xf>
  </cellXfs>
  <cellStyles count="6">
    <cellStyle name="Гиперссылка" xfId="3" builtinId="8"/>
    <cellStyle name="Денежный" xfId="2" builtinId="4"/>
    <cellStyle name="Денежный 2" xfId="1"/>
    <cellStyle name="Обычный" xfId="0" builtinId="0"/>
    <cellStyle name="Обычный 2 2" xfId="5"/>
    <cellStyle name="Обычный 3" xfId="4"/>
  </cellStyles>
  <dxfs count="225">
    <dxf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outline="0">
        <left style="medium">
          <color indexed="64"/>
        </lef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outline="0">
        <left style="medium">
          <color indexed="64"/>
        </lef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scheme val="none"/>
      </font>
    </dxf>
    <dxf>
      <font>
        <b/>
        <i val="0"/>
        <strike val="0"/>
        <condense val="0"/>
        <extend val="0"/>
        <outline val="0"/>
        <shadow val="0"/>
        <u/>
        <vertAlign val="baseline"/>
        <sz val="10"/>
        <color theme="0"/>
        <name val="Bookman Old Style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</dxf>
    <dxf>
      <border diagonalUp="0" diagonalDown="0">
        <left/>
        <right/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</dxf>
    <dxf>
      <numFmt numFmtId="0" formatCode="General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outline="0">
        <left style="medium">
          <color indexed="64"/>
        </lef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u val="double"/>
      </font>
    </dxf>
    <dxf>
      <font>
        <u val="double"/>
      </font>
    </dxf>
    <dxf>
      <font>
        <b/>
        <i/>
      </font>
      <border>
        <vertical/>
        <horizontal/>
      </border>
    </dxf>
    <dxf>
      <border>
        <vertical/>
        <horizontal/>
      </border>
    </dxf>
    <dxf>
      <font>
        <u val="double"/>
      </font>
      <border>
        <vertical/>
        <horizontal/>
      </border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u val="double"/>
      </font>
    </dxf>
    <dxf>
      <fill>
        <patternFill patternType="gray0625">
          <fgColor theme="9" tint="0.59996337778862885"/>
        </patternFill>
      </fill>
    </dxf>
    <dxf>
      <fill>
        <patternFill patternType="gray0625">
          <fgColor rgb="FFFF0000"/>
          <bgColor auto="1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 patternType="gray0625">
          <fgColor rgb="FFFFCC66"/>
        </patternFill>
      </fill>
    </dxf>
    <dxf>
      <fill>
        <patternFill patternType="gray125">
          <fgColor rgb="FF7030A0"/>
        </patternFill>
      </fill>
    </dxf>
    <dxf>
      <fill>
        <patternFill patternType="gray0625">
          <fgColor theme="9" tint="0.59996337778862885"/>
        </patternFill>
      </fill>
    </dxf>
    <dxf>
      <fill>
        <patternFill patternType="gray0625">
          <fgColor rgb="FFFF0000"/>
          <bgColor auto="1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 patternType="gray0625">
          <fgColor rgb="FFFFCC66"/>
        </patternFill>
      </fill>
    </dxf>
    <dxf>
      <fill>
        <patternFill patternType="gray125">
          <fgColor rgb="FF7030A0"/>
        </pattern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BDBD"/>
          </stop>
        </gradientFill>
      </fill>
    </dxf>
    <dxf>
      <fill>
        <patternFill patternType="gray0625">
          <fgColor rgb="FFFF0000"/>
        </patternFill>
      </fill>
    </dxf>
    <dxf>
      <fill>
        <patternFill patternType="gray125"/>
      </fill>
    </dxf>
    <dxf>
      <fill>
        <patternFill patternType="lightGrid">
          <fgColor rgb="FFFF0000"/>
          <bgColor auto="1"/>
        </patternFill>
      </fill>
    </dxf>
    <dxf>
      <fill>
        <patternFill patternType="lightUp">
          <fgColor rgb="FFFF0000"/>
        </patternFill>
      </fill>
    </dxf>
    <dxf>
      <fill>
        <patternFill patternType="gray0625">
          <fgColor rgb="FFFF0000"/>
        </patternFill>
      </fill>
    </dxf>
    <dxf>
      <fill>
        <patternFill patternType="lightUp">
          <fgColor rgb="FFFF0000"/>
        </patternFill>
      </fill>
    </dxf>
    <dxf>
      <fill>
        <patternFill patternType="gray0625">
          <fgColor rgb="FFFF0000"/>
        </patternFill>
      </fill>
    </dxf>
    <dxf>
      <fill>
        <patternFill patternType="gray125"/>
      </fill>
    </dxf>
    <dxf>
      <fill>
        <patternFill patternType="lightGrid">
          <fgColor rgb="FFFF0000"/>
          <bgColor auto="1"/>
        </patternFill>
      </fill>
    </dxf>
    <dxf>
      <fill>
        <patternFill patternType="lightUp">
          <fgColor rgb="FFFF0000"/>
        </patternFill>
      </fill>
    </dxf>
    <dxf>
      <fill>
        <patternFill patternType="gray0625">
          <fgColor rgb="FFFF0000"/>
        </patternFill>
      </fill>
    </dxf>
    <dxf>
      <fill>
        <patternFill patternType="lightUp">
          <fgColor rgb="FFFF0000"/>
        </patternFill>
      </fill>
    </dxf>
    <dxf>
      <fill>
        <patternFill patternType="gray0625">
          <fgColor rgb="FFFF0000"/>
        </patternFill>
      </fill>
    </dxf>
    <dxf>
      <fill>
        <patternFill patternType="gray125"/>
      </fill>
    </dxf>
    <dxf>
      <fill>
        <patternFill patternType="lightGrid">
          <fgColor rgb="FFFF0000"/>
          <bgColor auto="1"/>
        </patternFill>
      </fill>
    </dxf>
    <dxf>
      <fill>
        <patternFill patternType="lightUp">
          <fgColor rgb="FFFF0000"/>
        </patternFill>
      </fill>
    </dxf>
    <dxf>
      <fill>
        <patternFill patternType="gray0625">
          <fgColor rgb="FFFF0000"/>
        </patternFill>
      </fill>
    </dxf>
    <dxf>
      <fill>
        <patternFill patternType="lightUp">
          <fgColor rgb="FFFF0000"/>
        </patternFill>
      </fill>
    </dxf>
    <dxf>
      <fill>
        <gradientFill degree="90">
          <stop position="0">
            <color theme="0"/>
          </stop>
          <stop position="1">
            <color rgb="FFFFBDBD"/>
          </stop>
        </gradientFill>
      </fill>
    </dxf>
    <dxf>
      <fill>
        <patternFill patternType="gray0625">
          <fgColor rgb="FFFF0000"/>
        </patternFill>
      </fill>
    </dxf>
    <dxf>
      <fill>
        <gradientFill degree="90">
          <stop position="0">
            <color theme="0"/>
          </stop>
          <stop position="0.5">
            <color theme="7" tint="0.80001220740379042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7" tint="0.80001220740379042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7" tint="0.80001220740379042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ont>
        <b/>
        <i val="0"/>
        <u val="double"/>
        <color rgb="FFFF0000"/>
      </font>
      <fill>
        <patternFill>
          <bgColor rgb="FFFFFF00"/>
        </patternFill>
      </fill>
    </dxf>
    <dxf>
      <font>
        <b/>
        <i val="0"/>
        <u val="double"/>
        <color rgb="FFFF0000"/>
      </font>
      <fill>
        <patternFill>
          <bgColor rgb="FFFFFF00"/>
        </patternFill>
      </fill>
    </dxf>
    <dxf>
      <font>
        <b/>
        <i val="0"/>
        <u val="double"/>
        <color rgb="FFFF0000"/>
      </font>
      <fill>
        <patternFill>
          <bgColor rgb="FFFFFF00"/>
        </patternFill>
      </fill>
    </dxf>
    <dxf>
      <font>
        <b/>
        <i val="0"/>
        <u val="double"/>
        <color rgb="FFFF0000"/>
      </font>
      <fill>
        <patternFill>
          <bgColor rgb="FFFFFF00"/>
        </patternFill>
      </fill>
    </dxf>
    <dxf>
      <font>
        <b/>
        <i val="0"/>
        <u val="double"/>
        <color rgb="FFFF000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color auto="1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rgb="FFC00000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C00000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 val="double"/>
        <color rgb="FFFF0000"/>
      </font>
      <fill>
        <patternFill>
          <bgColor rgb="FFFFFF00"/>
        </patternFill>
      </fill>
    </dxf>
    <dxf>
      <font>
        <b/>
        <i/>
        <strike val="0"/>
        <u/>
        <color rgb="FFFF0000"/>
      </font>
      <fill>
        <patternFill patternType="none">
          <bgColor auto="1"/>
        </patternFill>
      </fill>
    </dxf>
    <dxf>
      <font>
        <b/>
        <i/>
        <strike val="0"/>
        <u/>
        <color rgb="FFFF000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gradientFill type="path" left="0.5" right="0.5" top="0.5" bottom="0.5">
          <stop position="0">
            <color theme="0"/>
          </stop>
          <stop position="1">
            <color theme="4" tint="0.59999389629810485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 tint="0.59999389629810485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 tint="0.59999389629810485"/>
          </stop>
        </gradientFill>
      </fill>
    </dxf>
    <dxf>
      <fill>
        <patternFill patternType="gray0625">
          <fgColor rgb="FFFF0000"/>
        </patternFill>
      </fill>
    </dxf>
    <dxf>
      <fill>
        <patternFill patternType="gray0625">
          <fgColor rgb="FFFF0000"/>
        </patternFill>
      </fill>
    </dxf>
    <dxf>
      <font>
        <b/>
        <i/>
        <strike val="0"/>
        <u/>
        <color rgb="FFFF0000"/>
      </font>
      <fill>
        <patternFill patternType="none">
          <bgColor auto="1"/>
        </patternFill>
      </fill>
    </dxf>
    <dxf>
      <fill>
        <gradientFill degree="90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FFBDBD"/>
          </stop>
        </gradient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u val="double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 val="0"/>
        <i/>
        <u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u val="double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 val="0"/>
        <i/>
        <u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u val="double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u val="double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u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u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/>
        <u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u val="double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u val="double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u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u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/>
        <u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u val="double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 val="0"/>
        <i/>
        <u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u val="double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u val="double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u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u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/>
        <u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 patternType="gray0625">
          <fgColor theme="9" tint="0.59996337778862885"/>
        </patternFill>
      </fill>
    </dxf>
    <dxf>
      <fill>
        <patternFill patternType="gray0625">
          <fgColor rgb="FFFF0000"/>
          <bgColor auto="1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 patternType="gray0625">
          <fgColor rgb="FFFFCC66"/>
        </patternFill>
      </fill>
    </dxf>
    <dxf>
      <fill>
        <patternFill patternType="gray125">
          <fgColor rgb="FF7030A0"/>
        </patternFill>
      </fill>
    </dxf>
  </dxfs>
  <tableStyles count="0" defaultTableStyle="TableStyleMedium2" defaultPivotStyle="PivotStyleLight16"/>
  <colors>
    <mruColors>
      <color rgb="FFFFFFFF"/>
      <color rgb="FFFF5050"/>
      <color rgb="FFFFBDBD"/>
      <color rgb="FFEDD89D"/>
      <color rgb="FFFFCC66"/>
      <color rgb="FFF9BFC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List" dx="22" fmlaLink="дверь!$A$1" fmlaRange="дверь!$B$4:$B$21" val="0"/>
</file>

<file path=xl/ctrlProps/ctrlProp2.xml><?xml version="1.0" encoding="utf-8"?>
<formControlPr xmlns="http://schemas.microsoft.com/office/spreadsheetml/2009/9/main" objectType="List" dx="22" fmlaLink="Номер_открывания_2" fmlaRange="дверь!$B$4:$B$21" val="0"/>
</file>

<file path=xl/ctrlProps/ctrlProp3.xml><?xml version="1.0" encoding="utf-8"?>
<formControlPr xmlns="http://schemas.microsoft.com/office/spreadsheetml/2009/9/main" objectType="List" dx="22" fmlaLink="Номер_открывания_3" fmlaRange="дверь!$B$4:$B$21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g"/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26</xdr:col>
          <xdr:colOff>819150</xdr:colOff>
          <xdr:row>5</xdr:row>
          <xdr:rowOff>123825</xdr:rowOff>
        </xdr:from>
        <xdr:to>
          <xdr:col>30</xdr:col>
          <xdr:colOff>209550</xdr:colOff>
          <xdr:row>11</xdr:row>
          <xdr:rowOff>390525</xdr:rowOff>
        </xdr:to>
        <xdr:sp macro="" textlink="">
          <xdr:nvSpPr>
            <xdr:cNvPr id="3073" name="List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10583</xdr:rowOff>
    </xdr:to>
    <xdr:sp macro="" textlink="">
      <xdr:nvSpPr>
        <xdr:cNvPr id="2" name="TextBox 1"/>
        <xdr:cNvSpPr txBox="1"/>
      </xdr:nvSpPr>
      <xdr:spPr>
        <a:xfrm>
          <a:off x="0" y="3505200"/>
          <a:ext cx="1304925" cy="5535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300"/>
            <a:t>ПРИМЕЧАНИЕ: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293687</xdr:colOff>
          <xdr:row>0</xdr:row>
          <xdr:rowOff>215637</xdr:rowOff>
        </xdr:from>
        <xdr:to>
          <xdr:col>2</xdr:col>
          <xdr:colOff>512762</xdr:colOff>
          <xdr:row>6</xdr:row>
          <xdr:rowOff>206112</xdr:rowOff>
        </xdr:to>
        <xdr:pic>
          <xdr:nvPicPr>
            <xdr:cNvPr id="3" name="Рисунок 2"/>
            <xdr:cNvPicPr>
              <a:picLocks noChangeAspect="1" noChangeArrowheads="1"/>
              <a:extLst>
                <a:ext uri="{84589F7E-364E-4C9E-8A38-B11213B215E9}">
                  <a14:cameraTool cellRange="открытие_1" spid="_x0000_s4085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687" y="215637"/>
              <a:ext cx="857250" cy="1724025"/>
            </a:xfrm>
            <a:prstGeom prst="rect">
              <a:avLst/>
            </a:prstGeom>
            <a:noFill/>
            <a:effectLst>
              <a:glow>
                <a:schemeClr val="accent1"/>
              </a:glow>
              <a:outerShdw blurRad="38100" dist="12700" dir="5400000" algn="ctr" rotWithShape="0">
                <a:srgbClr val="000000">
                  <a:alpha val="7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0</xdr:col>
      <xdr:colOff>1</xdr:colOff>
      <xdr:row>12</xdr:row>
      <xdr:rowOff>0</xdr:rowOff>
    </xdr:from>
    <xdr:to>
      <xdr:col>1</xdr:col>
      <xdr:colOff>0</xdr:colOff>
      <xdr:row>14</xdr:row>
      <xdr:rowOff>10583</xdr:rowOff>
    </xdr:to>
    <xdr:sp macro="" textlink="">
      <xdr:nvSpPr>
        <xdr:cNvPr id="5" name="TextBox 4"/>
        <xdr:cNvSpPr txBox="1"/>
      </xdr:nvSpPr>
      <xdr:spPr>
        <a:xfrm>
          <a:off x="1" y="3009900"/>
          <a:ext cx="638174" cy="4868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000" i="1"/>
            <a:t>ПРИМЕ-ЧАНИЕ</a:t>
          </a:r>
          <a:r>
            <a:rPr lang="ru-RU" sz="1200"/>
            <a:t>: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29</xdr:row>
      <xdr:rowOff>10583</xdr:rowOff>
    </xdr:to>
    <xdr:sp macro="" textlink="">
      <xdr:nvSpPr>
        <xdr:cNvPr id="10" name="TextBox 9"/>
        <xdr:cNvSpPr txBox="1"/>
      </xdr:nvSpPr>
      <xdr:spPr>
        <a:xfrm>
          <a:off x="0" y="2876550"/>
          <a:ext cx="638175" cy="2487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300"/>
            <a:t>ПРИМЕЧАНИЕ: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242887</xdr:colOff>
          <xdr:row>16</xdr:row>
          <xdr:rowOff>207170</xdr:rowOff>
        </xdr:from>
        <xdr:ext cx="857250" cy="1724025"/>
        <xdr:pic>
          <xdr:nvPicPr>
            <xdr:cNvPr id="11" name="Рисунок 10"/>
            <xdr:cNvPicPr>
              <a:picLocks noChangeAspect="1" noChangeArrowheads="1"/>
              <a:extLst>
                <a:ext uri="{84589F7E-364E-4C9E-8A38-B11213B215E9}">
                  <a14:cameraTool cellRange="открытие_2" spid="_x0000_s4085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2887" y="5445920"/>
              <a:ext cx="857250" cy="1724025"/>
            </a:xfrm>
            <a:prstGeom prst="rect">
              <a:avLst/>
            </a:prstGeom>
            <a:noFill/>
            <a:effectLst>
              <a:glow>
                <a:schemeClr val="accent1"/>
              </a:glow>
              <a:outerShdw blurRad="38100" dist="12700" dir="5400000" algn="ctr" rotWithShape="0">
                <a:srgbClr val="000000">
                  <a:alpha val="7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26</xdr:col>
          <xdr:colOff>952500</xdr:colOff>
          <xdr:row>21</xdr:row>
          <xdr:rowOff>123825</xdr:rowOff>
        </xdr:from>
        <xdr:to>
          <xdr:col>30</xdr:col>
          <xdr:colOff>400050</xdr:colOff>
          <xdr:row>28</xdr:row>
          <xdr:rowOff>28575</xdr:rowOff>
        </xdr:to>
        <xdr:sp macro="" textlink="">
          <xdr:nvSpPr>
            <xdr:cNvPr id="3716" name="List Box 644" hidden="1">
              <a:extLst>
                <a:ext uri="{63B3BB69-23CF-44E3-9099-C40C66FF867C}">
                  <a14:compatExt spid="_x0000_s37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0</xdr:col>
      <xdr:colOff>1</xdr:colOff>
      <xdr:row>28</xdr:row>
      <xdr:rowOff>0</xdr:rowOff>
    </xdr:from>
    <xdr:to>
      <xdr:col>1</xdr:col>
      <xdr:colOff>0</xdr:colOff>
      <xdr:row>30</xdr:row>
      <xdr:rowOff>10583</xdr:rowOff>
    </xdr:to>
    <xdr:sp macro="" textlink="">
      <xdr:nvSpPr>
        <xdr:cNvPr id="13" name="TextBox 12"/>
        <xdr:cNvSpPr txBox="1"/>
      </xdr:nvSpPr>
      <xdr:spPr>
        <a:xfrm>
          <a:off x="1" y="2876550"/>
          <a:ext cx="638174" cy="4868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000" i="1"/>
            <a:t>ПРИМЕ-ЧАНИЕ</a:t>
          </a:r>
          <a:r>
            <a:rPr lang="ru-RU" sz="1200"/>
            <a:t>: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45</xdr:row>
      <xdr:rowOff>10583</xdr:rowOff>
    </xdr:to>
    <xdr:sp macro="" textlink="">
      <xdr:nvSpPr>
        <xdr:cNvPr id="14" name="TextBox 13"/>
        <xdr:cNvSpPr txBox="1"/>
      </xdr:nvSpPr>
      <xdr:spPr>
        <a:xfrm>
          <a:off x="0" y="2876550"/>
          <a:ext cx="638175" cy="2487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300"/>
            <a:t>ПРИМЕЧАНИЕ: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214311</xdr:colOff>
          <xdr:row>32</xdr:row>
          <xdr:rowOff>197645</xdr:rowOff>
        </xdr:from>
        <xdr:ext cx="857250" cy="1724025"/>
        <xdr:pic>
          <xdr:nvPicPr>
            <xdr:cNvPr id="15" name="Рисунок 14"/>
            <xdr:cNvPicPr>
              <a:picLocks noChangeAspect="1" noChangeArrowheads="1"/>
              <a:extLst>
                <a:ext uri="{84589F7E-364E-4C9E-8A38-B11213B215E9}">
                  <a14:cameraTool cellRange="открытие_3" spid="_x0000_s4218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311" y="10537562"/>
              <a:ext cx="857250" cy="1724025"/>
            </a:xfrm>
            <a:prstGeom prst="rect">
              <a:avLst/>
            </a:prstGeom>
            <a:noFill/>
            <a:effectLst>
              <a:glow>
                <a:schemeClr val="accent1"/>
              </a:glow>
              <a:outerShdw blurRad="38100" dist="12700" dir="5400000" algn="ctr" rotWithShape="0">
                <a:srgbClr val="000000">
                  <a:alpha val="7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26</xdr:col>
          <xdr:colOff>1047750</xdr:colOff>
          <xdr:row>37</xdr:row>
          <xdr:rowOff>85725</xdr:rowOff>
        </xdr:from>
        <xdr:to>
          <xdr:col>30</xdr:col>
          <xdr:colOff>514350</xdr:colOff>
          <xdr:row>43</xdr:row>
          <xdr:rowOff>228600</xdr:rowOff>
        </xdr:to>
        <xdr:sp macro="" textlink="">
          <xdr:nvSpPr>
            <xdr:cNvPr id="3717" name="List Box 645" hidden="1">
              <a:extLst>
                <a:ext uri="{63B3BB69-23CF-44E3-9099-C40C66FF867C}">
                  <a14:compatExt spid="_x0000_s3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0</xdr:col>
      <xdr:colOff>1</xdr:colOff>
      <xdr:row>44</xdr:row>
      <xdr:rowOff>0</xdr:rowOff>
    </xdr:from>
    <xdr:to>
      <xdr:col>1</xdr:col>
      <xdr:colOff>0</xdr:colOff>
      <xdr:row>46</xdr:row>
      <xdr:rowOff>10583</xdr:rowOff>
    </xdr:to>
    <xdr:sp macro="" textlink="">
      <xdr:nvSpPr>
        <xdr:cNvPr id="17" name="TextBox 16"/>
        <xdr:cNvSpPr txBox="1"/>
      </xdr:nvSpPr>
      <xdr:spPr>
        <a:xfrm>
          <a:off x="1" y="2876550"/>
          <a:ext cx="638174" cy="4868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000" i="1"/>
            <a:t>ПРИМЕ-ЧАНИЕ</a:t>
          </a:r>
          <a:r>
            <a:rPr lang="ru-RU" sz="1200"/>
            <a:t>: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29</xdr:row>
      <xdr:rowOff>10583</xdr:rowOff>
    </xdr:to>
    <xdr:sp macro="" textlink="">
      <xdr:nvSpPr>
        <xdr:cNvPr id="18" name="TextBox 17"/>
        <xdr:cNvSpPr txBox="1"/>
      </xdr:nvSpPr>
      <xdr:spPr>
        <a:xfrm>
          <a:off x="0" y="2876550"/>
          <a:ext cx="638175" cy="2487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300"/>
            <a:t>ПРИМЕЧАНИЕ:</a:t>
          </a:r>
        </a:p>
      </xdr:txBody>
    </xdr:sp>
    <xdr:clientData/>
  </xdr:twoCellAnchor>
  <xdr:twoCellAnchor>
    <xdr:from>
      <xdr:col>0</xdr:col>
      <xdr:colOff>1</xdr:colOff>
      <xdr:row>28</xdr:row>
      <xdr:rowOff>0</xdr:rowOff>
    </xdr:from>
    <xdr:to>
      <xdr:col>1</xdr:col>
      <xdr:colOff>0</xdr:colOff>
      <xdr:row>30</xdr:row>
      <xdr:rowOff>10583</xdr:rowOff>
    </xdr:to>
    <xdr:sp macro="" textlink="">
      <xdr:nvSpPr>
        <xdr:cNvPr id="19" name="TextBox 18"/>
        <xdr:cNvSpPr txBox="1"/>
      </xdr:nvSpPr>
      <xdr:spPr>
        <a:xfrm>
          <a:off x="1" y="2876550"/>
          <a:ext cx="638174" cy="4868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000" i="1"/>
            <a:t>ПРИМЕ-ЧАНИЕ</a:t>
          </a:r>
          <a:r>
            <a:rPr lang="ru-RU" sz="1200"/>
            <a:t>: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45</xdr:row>
      <xdr:rowOff>10583</xdr:rowOff>
    </xdr:to>
    <xdr:sp macro="" textlink="">
      <xdr:nvSpPr>
        <xdr:cNvPr id="20" name="TextBox 19"/>
        <xdr:cNvSpPr txBox="1"/>
      </xdr:nvSpPr>
      <xdr:spPr>
        <a:xfrm>
          <a:off x="0" y="2876550"/>
          <a:ext cx="638175" cy="2487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300"/>
            <a:t>ПРИМЕЧАНИЕ:</a:t>
          </a:r>
        </a:p>
      </xdr:txBody>
    </xdr:sp>
    <xdr:clientData/>
  </xdr:twoCellAnchor>
  <xdr:twoCellAnchor>
    <xdr:from>
      <xdr:col>0</xdr:col>
      <xdr:colOff>1</xdr:colOff>
      <xdr:row>44</xdr:row>
      <xdr:rowOff>0</xdr:rowOff>
    </xdr:from>
    <xdr:to>
      <xdr:col>1</xdr:col>
      <xdr:colOff>0</xdr:colOff>
      <xdr:row>46</xdr:row>
      <xdr:rowOff>10583</xdr:rowOff>
    </xdr:to>
    <xdr:sp macro="" textlink="">
      <xdr:nvSpPr>
        <xdr:cNvPr id="21" name="TextBox 20"/>
        <xdr:cNvSpPr txBox="1"/>
      </xdr:nvSpPr>
      <xdr:spPr>
        <a:xfrm>
          <a:off x="1" y="2876550"/>
          <a:ext cx="638174" cy="4868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000" i="1"/>
            <a:t>ПРИМЕ-ЧАНИЕ</a:t>
          </a:r>
          <a:r>
            <a:rPr lang="ru-RU" sz="1200"/>
            <a:t>: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45</xdr:row>
      <xdr:rowOff>10583</xdr:rowOff>
    </xdr:to>
    <xdr:sp macro="" textlink="">
      <xdr:nvSpPr>
        <xdr:cNvPr id="22" name="TextBox 21"/>
        <xdr:cNvSpPr txBox="1"/>
      </xdr:nvSpPr>
      <xdr:spPr>
        <a:xfrm>
          <a:off x="0" y="2876550"/>
          <a:ext cx="638175" cy="2487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300"/>
            <a:t>ПРИМЕЧАНИЕ:</a:t>
          </a:r>
        </a:p>
      </xdr:txBody>
    </xdr:sp>
    <xdr:clientData/>
  </xdr:twoCellAnchor>
  <xdr:twoCellAnchor>
    <xdr:from>
      <xdr:col>0</xdr:col>
      <xdr:colOff>1</xdr:colOff>
      <xdr:row>44</xdr:row>
      <xdr:rowOff>0</xdr:rowOff>
    </xdr:from>
    <xdr:to>
      <xdr:col>1</xdr:col>
      <xdr:colOff>0</xdr:colOff>
      <xdr:row>46</xdr:row>
      <xdr:rowOff>10583</xdr:rowOff>
    </xdr:to>
    <xdr:sp macro="" textlink="">
      <xdr:nvSpPr>
        <xdr:cNvPr id="23" name="TextBox 22"/>
        <xdr:cNvSpPr txBox="1"/>
      </xdr:nvSpPr>
      <xdr:spPr>
        <a:xfrm>
          <a:off x="1" y="2876550"/>
          <a:ext cx="638174" cy="4868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ru-RU" sz="1000" i="1"/>
            <a:t>ПРИМЕ-ЧАНИЕ</a:t>
          </a:r>
          <a:r>
            <a:rPr lang="ru-RU" sz="1200"/>
            <a:t>:</a:t>
          </a:r>
        </a:p>
      </xdr:txBody>
    </xdr:sp>
    <xdr:clientData/>
  </xdr:twoCellAnchor>
  <xdr:twoCellAnchor editAs="oneCell">
    <xdr:from>
      <xdr:col>6</xdr:col>
      <xdr:colOff>186267</xdr:colOff>
      <xdr:row>0</xdr:row>
      <xdr:rowOff>69850</xdr:rowOff>
    </xdr:from>
    <xdr:to>
      <xdr:col>6</xdr:col>
      <xdr:colOff>827040</xdr:colOff>
      <xdr:row>1</xdr:row>
      <xdr:rowOff>134408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0367" y="69850"/>
          <a:ext cx="640773" cy="350308"/>
        </a:xfrm>
        <a:prstGeom prst="rect">
          <a:avLst/>
        </a:prstGeom>
      </xdr:spPr>
    </xdr:pic>
    <xdr:clientData/>
  </xdr:twoCellAnchor>
  <xdr:oneCellAnchor>
    <xdr:from>
      <xdr:col>6</xdr:col>
      <xdr:colOff>186267</xdr:colOff>
      <xdr:row>32</xdr:row>
      <xdr:rowOff>69850</xdr:rowOff>
    </xdr:from>
    <xdr:ext cx="640773" cy="350308"/>
    <xdr:pic>
      <xdr:nvPicPr>
        <xdr:cNvPr id="26" name="Рисунок 2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0367" y="69850"/>
          <a:ext cx="640773" cy="350308"/>
        </a:xfrm>
        <a:prstGeom prst="rect">
          <a:avLst/>
        </a:prstGeom>
      </xdr:spPr>
    </xdr:pic>
    <xdr:clientData/>
  </xdr:oneCellAnchor>
  <xdr:twoCellAnchor editAs="oneCell">
    <xdr:from>
      <xdr:col>30</xdr:col>
      <xdr:colOff>47626</xdr:colOff>
      <xdr:row>5</xdr:row>
      <xdr:rowOff>266701</xdr:rowOff>
    </xdr:from>
    <xdr:to>
      <xdr:col>32</xdr:col>
      <xdr:colOff>133350</xdr:colOff>
      <xdr:row>10</xdr:row>
      <xdr:rowOff>38100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92176" y="1704976"/>
          <a:ext cx="1419224" cy="1419224"/>
        </a:xfrm>
        <a:prstGeom prst="rect">
          <a:avLst/>
        </a:prstGeom>
      </xdr:spPr>
    </xdr:pic>
    <xdr:clientData/>
  </xdr:twoCellAnchor>
  <xdr:oneCellAnchor>
    <xdr:from>
      <xdr:col>6</xdr:col>
      <xdr:colOff>186267</xdr:colOff>
      <xdr:row>16</xdr:row>
      <xdr:rowOff>69850</xdr:rowOff>
    </xdr:from>
    <xdr:ext cx="640773" cy="350308"/>
    <xdr:pic>
      <xdr:nvPicPr>
        <xdr:cNvPr id="24" name="Рисунок 2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9417" y="69850"/>
          <a:ext cx="640773" cy="35030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361950</xdr:colOff>
      <xdr:row>4</xdr:row>
      <xdr:rowOff>76200</xdr:rowOff>
    </xdr:from>
    <xdr:to>
      <xdr:col>26</xdr:col>
      <xdr:colOff>546717</xdr:colOff>
      <xdr:row>7</xdr:row>
      <xdr:rowOff>159544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228725"/>
          <a:ext cx="5671167" cy="7024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428625</xdr:colOff>
      <xdr:row>11</xdr:row>
      <xdr:rowOff>38100</xdr:rowOff>
    </xdr:from>
    <xdr:to>
      <xdr:col>27</xdr:col>
      <xdr:colOff>200871</xdr:colOff>
      <xdr:row>14</xdr:row>
      <xdr:rowOff>61912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2581275"/>
          <a:ext cx="5868246" cy="5953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371475</xdr:colOff>
      <xdr:row>17</xdr:row>
      <xdr:rowOff>150019</xdr:rowOff>
    </xdr:from>
    <xdr:to>
      <xdr:col>21</xdr:col>
      <xdr:colOff>470926</xdr:colOff>
      <xdr:row>25</xdr:row>
      <xdr:rowOff>45243</xdr:rowOff>
    </xdr:to>
    <xdr:pic>
      <xdr:nvPicPr>
        <xdr:cNvPr id="4" name="Рисунок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827" t="1121" r="59702" b="60770"/>
        <a:stretch/>
      </xdr:blipFill>
      <xdr:spPr>
        <a:xfrm>
          <a:off x="10734675" y="3931444"/>
          <a:ext cx="2537851" cy="1428749"/>
        </a:xfrm>
        <a:prstGeom prst="rect">
          <a:avLst/>
        </a:prstGeom>
      </xdr:spPr>
    </xdr:pic>
    <xdr:clientData/>
  </xdr:twoCellAnchor>
  <xdr:twoCellAnchor editAs="oneCell">
    <xdr:from>
      <xdr:col>22</xdr:col>
      <xdr:colOff>285749</xdr:colOff>
      <xdr:row>27</xdr:row>
      <xdr:rowOff>73736</xdr:rowOff>
    </xdr:from>
    <xdr:to>
      <xdr:col>27</xdr:col>
      <xdr:colOff>102862</xdr:colOff>
      <xdr:row>35</xdr:row>
      <xdr:rowOff>9525</xdr:rowOff>
    </xdr:to>
    <xdr:pic>
      <xdr:nvPicPr>
        <xdr:cNvPr id="5" name="Рисунок 4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988" t="56943" r="1227"/>
        <a:stretch/>
      </xdr:blipFill>
      <xdr:spPr>
        <a:xfrm>
          <a:off x="13696949" y="5769686"/>
          <a:ext cx="2865113" cy="1459789"/>
        </a:xfrm>
        <a:prstGeom prst="rect">
          <a:avLst/>
        </a:prstGeom>
      </xdr:spPr>
    </xdr:pic>
    <xdr:clientData/>
  </xdr:twoCellAnchor>
  <xdr:twoCellAnchor editAs="oneCell">
    <xdr:from>
      <xdr:col>22</xdr:col>
      <xdr:colOff>333375</xdr:colOff>
      <xdr:row>17</xdr:row>
      <xdr:rowOff>142875</xdr:rowOff>
    </xdr:from>
    <xdr:to>
      <xdr:col>26</xdr:col>
      <xdr:colOff>495300</xdr:colOff>
      <xdr:row>25</xdr:row>
      <xdr:rowOff>60499</xdr:rowOff>
    </xdr:to>
    <xdr:pic>
      <xdr:nvPicPr>
        <xdr:cNvPr id="6" name="Рисунок 5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577" t="659" r="4699" b="61268"/>
        <a:stretch/>
      </xdr:blipFill>
      <xdr:spPr>
        <a:xfrm>
          <a:off x="13744575" y="3924300"/>
          <a:ext cx="2600325" cy="1451149"/>
        </a:xfrm>
        <a:prstGeom prst="rect">
          <a:avLst/>
        </a:prstGeom>
      </xdr:spPr>
    </xdr:pic>
    <xdr:clientData/>
  </xdr:twoCellAnchor>
  <xdr:twoCellAnchor editAs="oneCell">
    <xdr:from>
      <xdr:col>17</xdr:col>
      <xdr:colOff>247650</xdr:colOff>
      <xdr:row>27</xdr:row>
      <xdr:rowOff>38100</xdr:rowOff>
    </xdr:from>
    <xdr:to>
      <xdr:col>22</xdr:col>
      <xdr:colOff>121833</xdr:colOff>
      <xdr:row>35</xdr:row>
      <xdr:rowOff>9525</xdr:rowOff>
    </xdr:to>
    <xdr:pic>
      <xdr:nvPicPr>
        <xdr:cNvPr id="7" name="Рисунок 6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58" t="56503" r="56067" b="363"/>
        <a:stretch/>
      </xdr:blipFill>
      <xdr:spPr>
        <a:xfrm>
          <a:off x="10610850" y="5543550"/>
          <a:ext cx="2922183" cy="1495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190501</xdr:colOff>
      <xdr:row>2</xdr:row>
      <xdr:rowOff>2390</xdr:rowOff>
    </xdr:from>
    <xdr:to>
      <xdr:col>2</xdr:col>
      <xdr:colOff>1885951</xdr:colOff>
      <xdr:row>2</xdr:row>
      <xdr:rowOff>579413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855364" y="90877"/>
          <a:ext cx="577023" cy="1695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0</xdr:colOff>
      <xdr:row>2</xdr:row>
      <xdr:rowOff>2</xdr:rowOff>
    </xdr:from>
    <xdr:to>
      <xdr:col>66</xdr:col>
      <xdr:colOff>0</xdr:colOff>
      <xdr:row>9</xdr:row>
      <xdr:rowOff>190500</xdr:rowOff>
    </xdr:to>
    <xdr:cxnSp macro="">
      <xdr:nvCxnSpPr>
        <xdr:cNvPr id="6" name="Прямая соединительная линия 5"/>
        <xdr:cNvCxnSpPr/>
      </xdr:nvCxnSpPr>
      <xdr:spPr>
        <a:xfrm flipH="1" flipV="1">
          <a:off x="10163175" y="390527"/>
          <a:ext cx="1143000" cy="152399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1</xdr:row>
      <xdr:rowOff>190500</xdr:rowOff>
    </xdr:from>
    <xdr:to>
      <xdr:col>66</xdr:col>
      <xdr:colOff>0</xdr:colOff>
      <xdr:row>10</xdr:row>
      <xdr:rowOff>0</xdr:rowOff>
    </xdr:to>
    <xdr:cxnSp macro="">
      <xdr:nvCxnSpPr>
        <xdr:cNvPr id="7" name="Прямая соединительная линия 6"/>
        <xdr:cNvCxnSpPr/>
      </xdr:nvCxnSpPr>
      <xdr:spPr>
        <a:xfrm flipH="1">
          <a:off x="10163175" y="381000"/>
          <a:ext cx="1143000" cy="1543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0</xdr:colOff>
      <xdr:row>26</xdr:row>
      <xdr:rowOff>196103</xdr:rowOff>
    </xdr:from>
    <xdr:to>
      <xdr:col>65</xdr:col>
      <xdr:colOff>212913</xdr:colOff>
      <xdr:row>31</xdr:row>
      <xdr:rowOff>0</xdr:rowOff>
    </xdr:to>
    <xdr:cxnSp macro="">
      <xdr:nvCxnSpPr>
        <xdr:cNvPr id="15" name="Прямая соединительная линия 14"/>
        <xdr:cNvCxnSpPr/>
      </xdr:nvCxnSpPr>
      <xdr:spPr>
        <a:xfrm flipH="1">
          <a:off x="3695700" y="2891678"/>
          <a:ext cx="651063" cy="76592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0</xdr:colOff>
      <xdr:row>30</xdr:row>
      <xdr:rowOff>184897</xdr:rowOff>
    </xdr:from>
    <xdr:to>
      <xdr:col>65</xdr:col>
      <xdr:colOff>203948</xdr:colOff>
      <xdr:row>34</xdr:row>
      <xdr:rowOff>196105</xdr:rowOff>
    </xdr:to>
    <xdr:cxnSp macro="">
      <xdr:nvCxnSpPr>
        <xdr:cNvPr id="16" name="Прямая соединительная линия 15"/>
        <xdr:cNvCxnSpPr/>
      </xdr:nvCxnSpPr>
      <xdr:spPr>
        <a:xfrm flipH="1" flipV="1">
          <a:off x="3695700" y="3651997"/>
          <a:ext cx="651623" cy="7732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30</xdr:row>
      <xdr:rowOff>184897</xdr:rowOff>
    </xdr:from>
    <xdr:to>
      <xdr:col>61</xdr:col>
      <xdr:colOff>212913</xdr:colOff>
      <xdr:row>35</xdr:row>
      <xdr:rowOff>0</xdr:rowOff>
    </xdr:to>
    <xdr:cxnSp macro="">
      <xdr:nvCxnSpPr>
        <xdr:cNvPr id="17" name="Прямая соединительная линия 16"/>
        <xdr:cNvCxnSpPr/>
      </xdr:nvCxnSpPr>
      <xdr:spPr>
        <a:xfrm flipH="1">
          <a:off x="3048000" y="3651997"/>
          <a:ext cx="651063" cy="77712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27</xdr:row>
      <xdr:rowOff>0</xdr:rowOff>
    </xdr:from>
    <xdr:to>
      <xdr:col>62</xdr:col>
      <xdr:colOff>2243</xdr:colOff>
      <xdr:row>31</xdr:row>
      <xdr:rowOff>2</xdr:rowOff>
    </xdr:to>
    <xdr:cxnSp macro="">
      <xdr:nvCxnSpPr>
        <xdr:cNvPr id="18" name="Прямая соединительная линия 17"/>
        <xdr:cNvCxnSpPr/>
      </xdr:nvCxnSpPr>
      <xdr:spPr>
        <a:xfrm flipH="1" flipV="1">
          <a:off x="3048000" y="2895600"/>
          <a:ext cx="649943" cy="7620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38</xdr:row>
      <xdr:rowOff>196103</xdr:rowOff>
    </xdr:from>
    <xdr:to>
      <xdr:col>63</xdr:col>
      <xdr:colOff>212913</xdr:colOff>
      <xdr:row>43</xdr:row>
      <xdr:rowOff>0</xdr:rowOff>
    </xdr:to>
    <xdr:cxnSp macro="">
      <xdr:nvCxnSpPr>
        <xdr:cNvPr id="19" name="Прямая соединительная линия 18"/>
        <xdr:cNvCxnSpPr/>
      </xdr:nvCxnSpPr>
      <xdr:spPr>
        <a:xfrm flipH="1">
          <a:off x="5800725" y="2891678"/>
          <a:ext cx="651063" cy="76592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42</xdr:row>
      <xdr:rowOff>184897</xdr:rowOff>
    </xdr:from>
    <xdr:to>
      <xdr:col>63</xdr:col>
      <xdr:colOff>203948</xdr:colOff>
      <xdr:row>46</xdr:row>
      <xdr:rowOff>196105</xdr:rowOff>
    </xdr:to>
    <xdr:cxnSp macro="">
      <xdr:nvCxnSpPr>
        <xdr:cNvPr id="20" name="Прямая соединительная линия 19"/>
        <xdr:cNvCxnSpPr/>
      </xdr:nvCxnSpPr>
      <xdr:spPr>
        <a:xfrm flipH="1" flipV="1">
          <a:off x="5800725" y="3651997"/>
          <a:ext cx="651623" cy="7732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0</xdr:colOff>
      <xdr:row>42</xdr:row>
      <xdr:rowOff>184897</xdr:rowOff>
    </xdr:from>
    <xdr:to>
      <xdr:col>59</xdr:col>
      <xdr:colOff>212913</xdr:colOff>
      <xdr:row>47</xdr:row>
      <xdr:rowOff>0</xdr:rowOff>
    </xdr:to>
    <xdr:cxnSp macro="">
      <xdr:nvCxnSpPr>
        <xdr:cNvPr id="21" name="Прямая соединительная линия 20"/>
        <xdr:cNvCxnSpPr/>
      </xdr:nvCxnSpPr>
      <xdr:spPr>
        <a:xfrm flipH="1">
          <a:off x="5153025" y="3651997"/>
          <a:ext cx="651063" cy="77712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0</xdr:colOff>
      <xdr:row>39</xdr:row>
      <xdr:rowOff>0</xdr:rowOff>
    </xdr:from>
    <xdr:to>
      <xdr:col>60</xdr:col>
      <xdr:colOff>2243</xdr:colOff>
      <xdr:row>43</xdr:row>
      <xdr:rowOff>2</xdr:rowOff>
    </xdr:to>
    <xdr:cxnSp macro="">
      <xdr:nvCxnSpPr>
        <xdr:cNvPr id="22" name="Прямая соединительная линия 21"/>
        <xdr:cNvCxnSpPr/>
      </xdr:nvCxnSpPr>
      <xdr:spPr>
        <a:xfrm flipH="1" flipV="1">
          <a:off x="5153025" y="2895600"/>
          <a:ext cx="649943" cy="7620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0</xdr:colOff>
      <xdr:row>51</xdr:row>
      <xdr:rowOff>196103</xdr:rowOff>
    </xdr:from>
    <xdr:to>
      <xdr:col>65</xdr:col>
      <xdr:colOff>212913</xdr:colOff>
      <xdr:row>56</xdr:row>
      <xdr:rowOff>0</xdr:rowOff>
    </xdr:to>
    <xdr:cxnSp macro="">
      <xdr:nvCxnSpPr>
        <xdr:cNvPr id="23" name="Прямая соединительная линия 22"/>
        <xdr:cNvCxnSpPr/>
      </xdr:nvCxnSpPr>
      <xdr:spPr>
        <a:xfrm flipH="1">
          <a:off x="7581900" y="2891678"/>
          <a:ext cx="651063" cy="76592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0</xdr:colOff>
      <xdr:row>55</xdr:row>
      <xdr:rowOff>184897</xdr:rowOff>
    </xdr:from>
    <xdr:to>
      <xdr:col>65</xdr:col>
      <xdr:colOff>203948</xdr:colOff>
      <xdr:row>59</xdr:row>
      <xdr:rowOff>196105</xdr:rowOff>
    </xdr:to>
    <xdr:cxnSp macro="">
      <xdr:nvCxnSpPr>
        <xdr:cNvPr id="24" name="Прямая соединительная линия 23"/>
        <xdr:cNvCxnSpPr/>
      </xdr:nvCxnSpPr>
      <xdr:spPr>
        <a:xfrm flipH="1" flipV="1">
          <a:off x="7581900" y="3651997"/>
          <a:ext cx="651623" cy="7732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55</xdr:row>
      <xdr:rowOff>184897</xdr:rowOff>
    </xdr:from>
    <xdr:to>
      <xdr:col>61</xdr:col>
      <xdr:colOff>212913</xdr:colOff>
      <xdr:row>60</xdr:row>
      <xdr:rowOff>0</xdr:rowOff>
    </xdr:to>
    <xdr:cxnSp macro="">
      <xdr:nvCxnSpPr>
        <xdr:cNvPr id="25" name="Прямая соединительная линия 24"/>
        <xdr:cNvCxnSpPr/>
      </xdr:nvCxnSpPr>
      <xdr:spPr>
        <a:xfrm flipH="1">
          <a:off x="6934200" y="3651997"/>
          <a:ext cx="651063" cy="77712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52</xdr:row>
      <xdr:rowOff>0</xdr:rowOff>
    </xdr:from>
    <xdr:to>
      <xdr:col>62</xdr:col>
      <xdr:colOff>2243</xdr:colOff>
      <xdr:row>56</xdr:row>
      <xdr:rowOff>2</xdr:rowOff>
    </xdr:to>
    <xdr:cxnSp macro="">
      <xdr:nvCxnSpPr>
        <xdr:cNvPr id="26" name="Прямая соединительная линия 25"/>
        <xdr:cNvCxnSpPr/>
      </xdr:nvCxnSpPr>
      <xdr:spPr>
        <a:xfrm flipH="1" flipV="1">
          <a:off x="6934200" y="2895600"/>
          <a:ext cx="649943" cy="7620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0</xdr:colOff>
      <xdr:row>14</xdr:row>
      <xdr:rowOff>196103</xdr:rowOff>
    </xdr:from>
    <xdr:to>
      <xdr:col>65</xdr:col>
      <xdr:colOff>212913</xdr:colOff>
      <xdr:row>19</xdr:row>
      <xdr:rowOff>0</xdr:rowOff>
    </xdr:to>
    <xdr:cxnSp macro="">
      <xdr:nvCxnSpPr>
        <xdr:cNvPr id="28" name="Прямая соединительная линия 27"/>
        <xdr:cNvCxnSpPr/>
      </xdr:nvCxnSpPr>
      <xdr:spPr>
        <a:xfrm flipH="1">
          <a:off x="5905500" y="577103"/>
          <a:ext cx="574863" cy="76592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0</xdr:colOff>
      <xdr:row>18</xdr:row>
      <xdr:rowOff>184897</xdr:rowOff>
    </xdr:from>
    <xdr:to>
      <xdr:col>65</xdr:col>
      <xdr:colOff>203948</xdr:colOff>
      <xdr:row>22</xdr:row>
      <xdr:rowOff>196105</xdr:rowOff>
    </xdr:to>
    <xdr:cxnSp macro="">
      <xdr:nvCxnSpPr>
        <xdr:cNvPr id="29" name="Прямая соединительная линия 28"/>
        <xdr:cNvCxnSpPr/>
      </xdr:nvCxnSpPr>
      <xdr:spPr>
        <a:xfrm flipH="1" flipV="1">
          <a:off x="5905500" y="1337422"/>
          <a:ext cx="575423" cy="7732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18</xdr:row>
      <xdr:rowOff>184897</xdr:rowOff>
    </xdr:from>
    <xdr:to>
      <xdr:col>61</xdr:col>
      <xdr:colOff>212913</xdr:colOff>
      <xdr:row>23</xdr:row>
      <xdr:rowOff>0</xdr:rowOff>
    </xdr:to>
    <xdr:cxnSp macro="">
      <xdr:nvCxnSpPr>
        <xdr:cNvPr id="30" name="Прямая соединительная линия 29"/>
        <xdr:cNvCxnSpPr/>
      </xdr:nvCxnSpPr>
      <xdr:spPr>
        <a:xfrm flipH="1">
          <a:off x="5334000" y="1337422"/>
          <a:ext cx="574863" cy="77712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15</xdr:row>
      <xdr:rowOff>0</xdr:rowOff>
    </xdr:from>
    <xdr:to>
      <xdr:col>62</xdr:col>
      <xdr:colOff>2243</xdr:colOff>
      <xdr:row>19</xdr:row>
      <xdr:rowOff>2</xdr:rowOff>
    </xdr:to>
    <xdr:cxnSp macro="">
      <xdr:nvCxnSpPr>
        <xdr:cNvPr id="31" name="Прямая соединительная линия 30"/>
        <xdr:cNvCxnSpPr/>
      </xdr:nvCxnSpPr>
      <xdr:spPr>
        <a:xfrm flipH="1" flipV="1">
          <a:off x="5334000" y="581025"/>
          <a:ext cx="573743" cy="7620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27</xdr:row>
      <xdr:rowOff>9525</xdr:rowOff>
    </xdr:from>
    <xdr:to>
      <xdr:col>18</xdr:col>
      <xdr:colOff>123826</xdr:colOff>
      <xdr:row>35</xdr:row>
      <xdr:rowOff>0</xdr:rowOff>
    </xdr:to>
    <xdr:cxnSp macro="">
      <xdr:nvCxnSpPr>
        <xdr:cNvPr id="27" name="Прямая соединительная линия 26"/>
        <xdr:cNvCxnSpPr/>
      </xdr:nvCxnSpPr>
      <xdr:spPr>
        <a:xfrm flipH="1">
          <a:off x="3248025" y="521017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27</xdr:row>
      <xdr:rowOff>0</xdr:rowOff>
    </xdr:from>
    <xdr:to>
      <xdr:col>18</xdr:col>
      <xdr:colOff>126069</xdr:colOff>
      <xdr:row>35</xdr:row>
      <xdr:rowOff>2</xdr:rowOff>
    </xdr:to>
    <xdr:cxnSp macro="">
      <xdr:nvCxnSpPr>
        <xdr:cNvPr id="32" name="Прямая соединительная линия 31"/>
        <xdr:cNvCxnSpPr/>
      </xdr:nvCxnSpPr>
      <xdr:spPr>
        <a:xfrm flipH="1" flipV="1">
          <a:off x="3248025" y="5200650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0</xdr:colOff>
      <xdr:row>26</xdr:row>
      <xdr:rowOff>190500</xdr:rowOff>
    </xdr:from>
    <xdr:to>
      <xdr:col>57</xdr:col>
      <xdr:colOff>123826</xdr:colOff>
      <xdr:row>34</xdr:row>
      <xdr:rowOff>180975</xdr:rowOff>
    </xdr:to>
    <xdr:cxnSp macro="">
      <xdr:nvCxnSpPr>
        <xdr:cNvPr id="33" name="Прямая соединительная линия 32"/>
        <xdr:cNvCxnSpPr/>
      </xdr:nvCxnSpPr>
      <xdr:spPr>
        <a:xfrm flipH="1">
          <a:off x="5248275" y="519112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0</xdr:colOff>
      <xdr:row>26</xdr:row>
      <xdr:rowOff>180975</xdr:rowOff>
    </xdr:from>
    <xdr:to>
      <xdr:col>57</xdr:col>
      <xdr:colOff>126069</xdr:colOff>
      <xdr:row>34</xdr:row>
      <xdr:rowOff>180977</xdr:rowOff>
    </xdr:to>
    <xdr:cxnSp macro="">
      <xdr:nvCxnSpPr>
        <xdr:cNvPr id="34" name="Прямая соединительная линия 33"/>
        <xdr:cNvCxnSpPr/>
      </xdr:nvCxnSpPr>
      <xdr:spPr>
        <a:xfrm flipH="1" flipV="1">
          <a:off x="5248275" y="5181600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39</xdr:row>
      <xdr:rowOff>9525</xdr:rowOff>
    </xdr:from>
    <xdr:to>
      <xdr:col>22</xdr:col>
      <xdr:colOff>123826</xdr:colOff>
      <xdr:row>47</xdr:row>
      <xdr:rowOff>0</xdr:rowOff>
    </xdr:to>
    <xdr:cxnSp macro="">
      <xdr:nvCxnSpPr>
        <xdr:cNvPr id="35" name="Прямая соединительная линия 34"/>
        <xdr:cNvCxnSpPr/>
      </xdr:nvCxnSpPr>
      <xdr:spPr>
        <a:xfrm flipH="1">
          <a:off x="3819525" y="751522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39</xdr:row>
      <xdr:rowOff>0</xdr:rowOff>
    </xdr:from>
    <xdr:to>
      <xdr:col>22</xdr:col>
      <xdr:colOff>126069</xdr:colOff>
      <xdr:row>47</xdr:row>
      <xdr:rowOff>2</xdr:rowOff>
    </xdr:to>
    <xdr:cxnSp macro="">
      <xdr:nvCxnSpPr>
        <xdr:cNvPr id="36" name="Прямая соединительная линия 35"/>
        <xdr:cNvCxnSpPr/>
      </xdr:nvCxnSpPr>
      <xdr:spPr>
        <a:xfrm flipH="1" flipV="1">
          <a:off x="3819525" y="7505700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64</xdr:col>
      <xdr:colOff>0</xdr:colOff>
      <xdr:row>39</xdr:row>
      <xdr:rowOff>9525</xdr:rowOff>
    </xdr:from>
    <xdr:to>
      <xdr:col>65</xdr:col>
      <xdr:colOff>123826</xdr:colOff>
      <xdr:row>47</xdr:row>
      <xdr:rowOff>0</xdr:rowOff>
    </xdr:to>
    <xdr:cxnSp macro="">
      <xdr:nvCxnSpPr>
        <xdr:cNvPr id="37" name="Прямая соединительная линия 36"/>
        <xdr:cNvCxnSpPr/>
      </xdr:nvCxnSpPr>
      <xdr:spPr>
        <a:xfrm flipH="1">
          <a:off x="6391275" y="751522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64</xdr:col>
      <xdr:colOff>0</xdr:colOff>
      <xdr:row>39</xdr:row>
      <xdr:rowOff>0</xdr:rowOff>
    </xdr:from>
    <xdr:to>
      <xdr:col>65</xdr:col>
      <xdr:colOff>126069</xdr:colOff>
      <xdr:row>47</xdr:row>
      <xdr:rowOff>2</xdr:rowOff>
    </xdr:to>
    <xdr:cxnSp macro="">
      <xdr:nvCxnSpPr>
        <xdr:cNvPr id="38" name="Прямая соединительная линия 37"/>
        <xdr:cNvCxnSpPr/>
      </xdr:nvCxnSpPr>
      <xdr:spPr>
        <a:xfrm flipH="1" flipV="1">
          <a:off x="6391275" y="7505700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51</xdr:row>
      <xdr:rowOff>190500</xdr:rowOff>
    </xdr:from>
    <xdr:to>
      <xdr:col>18</xdr:col>
      <xdr:colOff>123826</xdr:colOff>
      <xdr:row>59</xdr:row>
      <xdr:rowOff>180975</xdr:rowOff>
    </xdr:to>
    <xdr:cxnSp macro="">
      <xdr:nvCxnSpPr>
        <xdr:cNvPr id="39" name="Прямая соединительная линия 38"/>
        <xdr:cNvCxnSpPr/>
      </xdr:nvCxnSpPr>
      <xdr:spPr>
        <a:xfrm flipH="1">
          <a:off x="3248025" y="10001250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51</xdr:row>
      <xdr:rowOff>180975</xdr:rowOff>
    </xdr:from>
    <xdr:to>
      <xdr:col>18</xdr:col>
      <xdr:colOff>126069</xdr:colOff>
      <xdr:row>59</xdr:row>
      <xdr:rowOff>180977</xdr:rowOff>
    </xdr:to>
    <xdr:cxnSp macro="">
      <xdr:nvCxnSpPr>
        <xdr:cNvPr id="40" name="Прямая соединительная линия 39"/>
        <xdr:cNvCxnSpPr/>
      </xdr:nvCxnSpPr>
      <xdr:spPr>
        <a:xfrm flipH="1" flipV="1">
          <a:off x="3248025" y="9991725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0</xdr:colOff>
      <xdr:row>52</xdr:row>
      <xdr:rowOff>9525</xdr:rowOff>
    </xdr:from>
    <xdr:to>
      <xdr:col>57</xdr:col>
      <xdr:colOff>123826</xdr:colOff>
      <xdr:row>60</xdr:row>
      <xdr:rowOff>0</xdr:rowOff>
    </xdr:to>
    <xdr:cxnSp macro="">
      <xdr:nvCxnSpPr>
        <xdr:cNvPr id="41" name="Прямая соединительная линия 40"/>
        <xdr:cNvCxnSpPr/>
      </xdr:nvCxnSpPr>
      <xdr:spPr>
        <a:xfrm flipH="1">
          <a:off x="5248275" y="10020300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0</xdr:colOff>
      <xdr:row>52</xdr:row>
      <xdr:rowOff>0</xdr:rowOff>
    </xdr:from>
    <xdr:to>
      <xdr:col>57</xdr:col>
      <xdr:colOff>126069</xdr:colOff>
      <xdr:row>60</xdr:row>
      <xdr:rowOff>2</xdr:rowOff>
    </xdr:to>
    <xdr:cxnSp macro="">
      <xdr:nvCxnSpPr>
        <xdr:cNvPr id="42" name="Прямая соединительная линия 41"/>
        <xdr:cNvCxnSpPr/>
      </xdr:nvCxnSpPr>
      <xdr:spPr>
        <a:xfrm flipH="1" flipV="1">
          <a:off x="5248275" y="10010775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0</xdr:colOff>
      <xdr:row>52</xdr:row>
      <xdr:rowOff>0</xdr:rowOff>
    </xdr:from>
    <xdr:to>
      <xdr:col>67</xdr:col>
      <xdr:colOff>123826</xdr:colOff>
      <xdr:row>59</xdr:row>
      <xdr:rowOff>190500</xdr:rowOff>
    </xdr:to>
    <xdr:cxnSp macro="">
      <xdr:nvCxnSpPr>
        <xdr:cNvPr id="43" name="Прямая соединительная линия 42"/>
        <xdr:cNvCxnSpPr/>
      </xdr:nvCxnSpPr>
      <xdr:spPr>
        <a:xfrm flipH="1">
          <a:off x="6677025" y="1001077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0</xdr:colOff>
      <xdr:row>51</xdr:row>
      <xdr:rowOff>190500</xdr:rowOff>
    </xdr:from>
    <xdr:to>
      <xdr:col>67</xdr:col>
      <xdr:colOff>126069</xdr:colOff>
      <xdr:row>59</xdr:row>
      <xdr:rowOff>190502</xdr:rowOff>
    </xdr:to>
    <xdr:cxnSp macro="">
      <xdr:nvCxnSpPr>
        <xdr:cNvPr id="44" name="Прямая соединительная линия 43"/>
        <xdr:cNvCxnSpPr/>
      </xdr:nvCxnSpPr>
      <xdr:spPr>
        <a:xfrm flipH="1" flipV="1">
          <a:off x="6677025" y="10001250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114300</xdr:colOff>
      <xdr:row>14</xdr:row>
      <xdr:rowOff>190500</xdr:rowOff>
    </xdr:from>
    <xdr:to>
      <xdr:col>9</xdr:col>
      <xdr:colOff>9526</xdr:colOff>
      <xdr:row>22</xdr:row>
      <xdr:rowOff>180975</xdr:rowOff>
    </xdr:to>
    <xdr:cxnSp macro="">
      <xdr:nvCxnSpPr>
        <xdr:cNvPr id="47" name="Прямая соединительная линия 46"/>
        <xdr:cNvCxnSpPr/>
      </xdr:nvCxnSpPr>
      <xdr:spPr>
        <a:xfrm flipH="1">
          <a:off x="2590800" y="288607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114300</xdr:colOff>
      <xdr:row>14</xdr:row>
      <xdr:rowOff>180975</xdr:rowOff>
    </xdr:from>
    <xdr:to>
      <xdr:col>9</xdr:col>
      <xdr:colOff>11769</xdr:colOff>
      <xdr:row>22</xdr:row>
      <xdr:rowOff>180977</xdr:rowOff>
    </xdr:to>
    <xdr:cxnSp macro="">
      <xdr:nvCxnSpPr>
        <xdr:cNvPr id="48" name="Прямая соединительная линия 47"/>
        <xdr:cNvCxnSpPr/>
      </xdr:nvCxnSpPr>
      <xdr:spPr>
        <a:xfrm flipH="1" flipV="1">
          <a:off x="2590800" y="2876550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15</xdr:row>
      <xdr:rowOff>0</xdr:rowOff>
    </xdr:from>
    <xdr:to>
      <xdr:col>34</xdr:col>
      <xdr:colOff>123826</xdr:colOff>
      <xdr:row>22</xdr:row>
      <xdr:rowOff>190500</xdr:rowOff>
    </xdr:to>
    <xdr:cxnSp macro="">
      <xdr:nvCxnSpPr>
        <xdr:cNvPr id="49" name="Прямая соединительная линия 48"/>
        <xdr:cNvCxnSpPr/>
      </xdr:nvCxnSpPr>
      <xdr:spPr>
        <a:xfrm flipH="1">
          <a:off x="6591300" y="2895600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14</xdr:row>
      <xdr:rowOff>190500</xdr:rowOff>
    </xdr:from>
    <xdr:to>
      <xdr:col>34</xdr:col>
      <xdr:colOff>126069</xdr:colOff>
      <xdr:row>22</xdr:row>
      <xdr:rowOff>190502</xdr:rowOff>
    </xdr:to>
    <xdr:cxnSp macro="">
      <xdr:nvCxnSpPr>
        <xdr:cNvPr id="50" name="Прямая соединительная линия 49"/>
        <xdr:cNvCxnSpPr/>
      </xdr:nvCxnSpPr>
      <xdr:spPr>
        <a:xfrm flipH="1" flipV="1">
          <a:off x="6591300" y="2886075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0</xdr:colOff>
      <xdr:row>14</xdr:row>
      <xdr:rowOff>196103</xdr:rowOff>
    </xdr:from>
    <xdr:to>
      <xdr:col>54</xdr:col>
      <xdr:colOff>212913</xdr:colOff>
      <xdr:row>19</xdr:row>
      <xdr:rowOff>0</xdr:rowOff>
    </xdr:to>
    <xdr:cxnSp macro="">
      <xdr:nvCxnSpPr>
        <xdr:cNvPr id="51" name="Прямая соединительная линия 50"/>
        <xdr:cNvCxnSpPr/>
      </xdr:nvCxnSpPr>
      <xdr:spPr>
        <a:xfrm flipH="1">
          <a:off x="10734675" y="5196728"/>
          <a:ext cx="574863" cy="76592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0</xdr:colOff>
      <xdr:row>18</xdr:row>
      <xdr:rowOff>184897</xdr:rowOff>
    </xdr:from>
    <xdr:to>
      <xdr:col>54</xdr:col>
      <xdr:colOff>203948</xdr:colOff>
      <xdr:row>22</xdr:row>
      <xdr:rowOff>196105</xdr:rowOff>
    </xdr:to>
    <xdr:cxnSp macro="">
      <xdr:nvCxnSpPr>
        <xdr:cNvPr id="52" name="Прямая соединительная линия 51"/>
        <xdr:cNvCxnSpPr/>
      </xdr:nvCxnSpPr>
      <xdr:spPr>
        <a:xfrm flipH="1" flipV="1">
          <a:off x="10734675" y="5957047"/>
          <a:ext cx="575423" cy="7732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0</xdr:colOff>
      <xdr:row>18</xdr:row>
      <xdr:rowOff>184897</xdr:rowOff>
    </xdr:from>
    <xdr:to>
      <xdr:col>50</xdr:col>
      <xdr:colOff>212913</xdr:colOff>
      <xdr:row>23</xdr:row>
      <xdr:rowOff>0</xdr:rowOff>
    </xdr:to>
    <xdr:cxnSp macro="">
      <xdr:nvCxnSpPr>
        <xdr:cNvPr id="53" name="Прямая соединительная линия 52"/>
        <xdr:cNvCxnSpPr/>
      </xdr:nvCxnSpPr>
      <xdr:spPr>
        <a:xfrm flipH="1">
          <a:off x="10163175" y="5957047"/>
          <a:ext cx="574863" cy="77712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0</xdr:colOff>
      <xdr:row>15</xdr:row>
      <xdr:rowOff>0</xdr:rowOff>
    </xdr:from>
    <xdr:to>
      <xdr:col>51</xdr:col>
      <xdr:colOff>2243</xdr:colOff>
      <xdr:row>19</xdr:row>
      <xdr:rowOff>2</xdr:rowOff>
    </xdr:to>
    <xdr:cxnSp macro="">
      <xdr:nvCxnSpPr>
        <xdr:cNvPr id="54" name="Прямая соединительная линия 53"/>
        <xdr:cNvCxnSpPr/>
      </xdr:nvCxnSpPr>
      <xdr:spPr>
        <a:xfrm flipH="1" flipV="1">
          <a:off x="10163175" y="5200650"/>
          <a:ext cx="573743" cy="7620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0</xdr:colOff>
      <xdr:row>14</xdr:row>
      <xdr:rowOff>190500</xdr:rowOff>
    </xdr:from>
    <xdr:to>
      <xdr:col>46</xdr:col>
      <xdr:colOff>123826</xdr:colOff>
      <xdr:row>22</xdr:row>
      <xdr:rowOff>180975</xdr:rowOff>
    </xdr:to>
    <xdr:cxnSp macro="">
      <xdr:nvCxnSpPr>
        <xdr:cNvPr id="55" name="Прямая соединительная линия 54"/>
        <xdr:cNvCxnSpPr/>
      </xdr:nvCxnSpPr>
      <xdr:spPr>
        <a:xfrm flipH="1">
          <a:off x="9877425" y="519112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0</xdr:colOff>
      <xdr:row>14</xdr:row>
      <xdr:rowOff>180975</xdr:rowOff>
    </xdr:from>
    <xdr:to>
      <xdr:col>46</xdr:col>
      <xdr:colOff>126069</xdr:colOff>
      <xdr:row>22</xdr:row>
      <xdr:rowOff>180977</xdr:rowOff>
    </xdr:to>
    <xdr:cxnSp macro="">
      <xdr:nvCxnSpPr>
        <xdr:cNvPr id="56" name="Прямая соединительная линия 55"/>
        <xdr:cNvCxnSpPr/>
      </xdr:nvCxnSpPr>
      <xdr:spPr>
        <a:xfrm flipH="1" flipV="1">
          <a:off x="9877425" y="5181600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0</xdr:colOff>
      <xdr:row>14</xdr:row>
      <xdr:rowOff>196103</xdr:rowOff>
    </xdr:from>
    <xdr:to>
      <xdr:col>77</xdr:col>
      <xdr:colOff>212913</xdr:colOff>
      <xdr:row>19</xdr:row>
      <xdr:rowOff>0</xdr:rowOff>
    </xdr:to>
    <xdr:cxnSp macro="">
      <xdr:nvCxnSpPr>
        <xdr:cNvPr id="57" name="Прямая соединительная линия 56"/>
        <xdr:cNvCxnSpPr/>
      </xdr:nvCxnSpPr>
      <xdr:spPr>
        <a:xfrm flipH="1">
          <a:off x="10448925" y="7501778"/>
          <a:ext cx="574863" cy="76592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0</xdr:colOff>
      <xdr:row>18</xdr:row>
      <xdr:rowOff>184897</xdr:rowOff>
    </xdr:from>
    <xdr:to>
      <xdr:col>77</xdr:col>
      <xdr:colOff>203948</xdr:colOff>
      <xdr:row>22</xdr:row>
      <xdr:rowOff>196105</xdr:rowOff>
    </xdr:to>
    <xdr:cxnSp macro="">
      <xdr:nvCxnSpPr>
        <xdr:cNvPr id="58" name="Прямая соединительная линия 57"/>
        <xdr:cNvCxnSpPr/>
      </xdr:nvCxnSpPr>
      <xdr:spPr>
        <a:xfrm flipH="1" flipV="1">
          <a:off x="10448925" y="8262097"/>
          <a:ext cx="575423" cy="7732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18</xdr:row>
      <xdr:rowOff>184897</xdr:rowOff>
    </xdr:from>
    <xdr:to>
      <xdr:col>74</xdr:col>
      <xdr:colOff>3363</xdr:colOff>
      <xdr:row>23</xdr:row>
      <xdr:rowOff>0</xdr:rowOff>
    </xdr:to>
    <xdr:cxnSp macro="">
      <xdr:nvCxnSpPr>
        <xdr:cNvPr id="59" name="Прямая соединительная линия 58"/>
        <xdr:cNvCxnSpPr/>
      </xdr:nvCxnSpPr>
      <xdr:spPr>
        <a:xfrm flipH="1">
          <a:off x="11877675" y="3461497"/>
          <a:ext cx="574863" cy="77712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15</xdr:row>
      <xdr:rowOff>0</xdr:rowOff>
    </xdr:from>
    <xdr:to>
      <xdr:col>74</xdr:col>
      <xdr:colOff>2243</xdr:colOff>
      <xdr:row>19</xdr:row>
      <xdr:rowOff>2</xdr:rowOff>
    </xdr:to>
    <xdr:cxnSp macro="">
      <xdr:nvCxnSpPr>
        <xdr:cNvPr id="60" name="Прямая соединительная линия 59"/>
        <xdr:cNvCxnSpPr/>
      </xdr:nvCxnSpPr>
      <xdr:spPr>
        <a:xfrm flipH="1" flipV="1">
          <a:off x="9877425" y="7505700"/>
          <a:ext cx="573743" cy="7620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0</xdr:colOff>
      <xdr:row>15</xdr:row>
      <xdr:rowOff>9525</xdr:rowOff>
    </xdr:from>
    <xdr:to>
      <xdr:col>79</xdr:col>
      <xdr:colOff>123826</xdr:colOff>
      <xdr:row>23</xdr:row>
      <xdr:rowOff>0</xdr:rowOff>
    </xdr:to>
    <xdr:cxnSp macro="">
      <xdr:nvCxnSpPr>
        <xdr:cNvPr id="61" name="Прямая соединительная линия 60"/>
        <xdr:cNvCxnSpPr/>
      </xdr:nvCxnSpPr>
      <xdr:spPr>
        <a:xfrm flipH="1">
          <a:off x="11020425" y="751522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0</xdr:colOff>
      <xdr:row>15</xdr:row>
      <xdr:rowOff>0</xdr:rowOff>
    </xdr:from>
    <xdr:to>
      <xdr:col>79</xdr:col>
      <xdr:colOff>126069</xdr:colOff>
      <xdr:row>23</xdr:row>
      <xdr:rowOff>2</xdr:rowOff>
    </xdr:to>
    <xdr:cxnSp macro="">
      <xdr:nvCxnSpPr>
        <xdr:cNvPr id="62" name="Прямая соединительная линия 61"/>
        <xdr:cNvCxnSpPr/>
      </xdr:nvCxnSpPr>
      <xdr:spPr>
        <a:xfrm flipH="1" flipV="1">
          <a:off x="11020425" y="7505700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51</xdr:row>
      <xdr:rowOff>190500</xdr:rowOff>
    </xdr:from>
    <xdr:to>
      <xdr:col>25</xdr:col>
      <xdr:colOff>123826</xdr:colOff>
      <xdr:row>59</xdr:row>
      <xdr:rowOff>180975</xdr:rowOff>
    </xdr:to>
    <xdr:cxnSp macro="">
      <xdr:nvCxnSpPr>
        <xdr:cNvPr id="63" name="Прямая соединительная линия 62"/>
        <xdr:cNvCxnSpPr/>
      </xdr:nvCxnSpPr>
      <xdr:spPr>
        <a:xfrm flipH="1">
          <a:off x="4305300" y="10001250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51</xdr:row>
      <xdr:rowOff>180975</xdr:rowOff>
    </xdr:from>
    <xdr:to>
      <xdr:col>25</xdr:col>
      <xdr:colOff>126069</xdr:colOff>
      <xdr:row>59</xdr:row>
      <xdr:rowOff>180977</xdr:rowOff>
    </xdr:to>
    <xdr:cxnSp macro="">
      <xdr:nvCxnSpPr>
        <xdr:cNvPr id="64" name="Прямая соединительная линия 63"/>
        <xdr:cNvCxnSpPr/>
      </xdr:nvCxnSpPr>
      <xdr:spPr>
        <a:xfrm flipH="1" flipV="1">
          <a:off x="4305300" y="9991725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38</xdr:row>
      <xdr:rowOff>190500</xdr:rowOff>
    </xdr:from>
    <xdr:to>
      <xdr:col>30</xdr:col>
      <xdr:colOff>123826</xdr:colOff>
      <xdr:row>46</xdr:row>
      <xdr:rowOff>180975</xdr:rowOff>
    </xdr:to>
    <xdr:cxnSp macro="">
      <xdr:nvCxnSpPr>
        <xdr:cNvPr id="69" name="Прямая соединительная линия 68"/>
        <xdr:cNvCxnSpPr/>
      </xdr:nvCxnSpPr>
      <xdr:spPr>
        <a:xfrm flipH="1">
          <a:off x="4305300" y="10001250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38</xdr:row>
      <xdr:rowOff>180975</xdr:rowOff>
    </xdr:from>
    <xdr:to>
      <xdr:col>30</xdr:col>
      <xdr:colOff>126069</xdr:colOff>
      <xdr:row>46</xdr:row>
      <xdr:rowOff>180977</xdr:rowOff>
    </xdr:to>
    <xdr:cxnSp macro="">
      <xdr:nvCxnSpPr>
        <xdr:cNvPr id="70" name="Прямая соединительная линия 69"/>
        <xdr:cNvCxnSpPr/>
      </xdr:nvCxnSpPr>
      <xdr:spPr>
        <a:xfrm flipH="1" flipV="1">
          <a:off x="4305300" y="9991725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38</xdr:row>
      <xdr:rowOff>190500</xdr:rowOff>
    </xdr:from>
    <xdr:to>
      <xdr:col>37</xdr:col>
      <xdr:colOff>123826</xdr:colOff>
      <xdr:row>46</xdr:row>
      <xdr:rowOff>180975</xdr:rowOff>
    </xdr:to>
    <xdr:cxnSp macro="">
      <xdr:nvCxnSpPr>
        <xdr:cNvPr id="71" name="Прямая соединительная линия 70"/>
        <xdr:cNvCxnSpPr/>
      </xdr:nvCxnSpPr>
      <xdr:spPr>
        <a:xfrm flipH="1">
          <a:off x="7019925" y="519112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38</xdr:row>
      <xdr:rowOff>180975</xdr:rowOff>
    </xdr:from>
    <xdr:to>
      <xdr:col>37</xdr:col>
      <xdr:colOff>126069</xdr:colOff>
      <xdr:row>46</xdr:row>
      <xdr:rowOff>180977</xdr:rowOff>
    </xdr:to>
    <xdr:cxnSp macro="">
      <xdr:nvCxnSpPr>
        <xdr:cNvPr id="72" name="Прямая соединительная линия 71"/>
        <xdr:cNvCxnSpPr/>
      </xdr:nvCxnSpPr>
      <xdr:spPr>
        <a:xfrm flipH="1" flipV="1">
          <a:off x="5305425" y="9991725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0</xdr:colOff>
      <xdr:row>38</xdr:row>
      <xdr:rowOff>196103</xdr:rowOff>
    </xdr:from>
    <xdr:to>
      <xdr:col>82</xdr:col>
      <xdr:colOff>212913</xdr:colOff>
      <xdr:row>43</xdr:row>
      <xdr:rowOff>0</xdr:rowOff>
    </xdr:to>
    <xdr:cxnSp macro="">
      <xdr:nvCxnSpPr>
        <xdr:cNvPr id="81" name="Прямая соединительная линия 80"/>
        <xdr:cNvCxnSpPr/>
      </xdr:nvCxnSpPr>
      <xdr:spPr>
        <a:xfrm flipH="1">
          <a:off x="10734675" y="10006853"/>
          <a:ext cx="574863" cy="76592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0</xdr:colOff>
      <xdr:row>42</xdr:row>
      <xdr:rowOff>184897</xdr:rowOff>
    </xdr:from>
    <xdr:to>
      <xdr:col>82</xdr:col>
      <xdr:colOff>203948</xdr:colOff>
      <xdr:row>46</xdr:row>
      <xdr:rowOff>196105</xdr:rowOff>
    </xdr:to>
    <xdr:cxnSp macro="">
      <xdr:nvCxnSpPr>
        <xdr:cNvPr id="82" name="Прямая соединительная линия 81"/>
        <xdr:cNvCxnSpPr/>
      </xdr:nvCxnSpPr>
      <xdr:spPr>
        <a:xfrm flipH="1" flipV="1">
          <a:off x="10734675" y="10767172"/>
          <a:ext cx="575423" cy="7732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0</xdr:colOff>
      <xdr:row>42</xdr:row>
      <xdr:rowOff>184897</xdr:rowOff>
    </xdr:from>
    <xdr:to>
      <xdr:col>78</xdr:col>
      <xdr:colOff>212913</xdr:colOff>
      <xdr:row>47</xdr:row>
      <xdr:rowOff>0</xdr:rowOff>
    </xdr:to>
    <xdr:cxnSp macro="">
      <xdr:nvCxnSpPr>
        <xdr:cNvPr id="83" name="Прямая соединительная линия 82"/>
        <xdr:cNvCxnSpPr/>
      </xdr:nvCxnSpPr>
      <xdr:spPr>
        <a:xfrm flipH="1">
          <a:off x="10163175" y="10767172"/>
          <a:ext cx="574863" cy="77712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0</xdr:colOff>
      <xdr:row>39</xdr:row>
      <xdr:rowOff>0</xdr:rowOff>
    </xdr:from>
    <xdr:to>
      <xdr:col>79</xdr:col>
      <xdr:colOff>2243</xdr:colOff>
      <xdr:row>43</xdr:row>
      <xdr:rowOff>2</xdr:rowOff>
    </xdr:to>
    <xdr:cxnSp macro="">
      <xdr:nvCxnSpPr>
        <xdr:cNvPr id="84" name="Прямая соединительная линия 83"/>
        <xdr:cNvCxnSpPr/>
      </xdr:nvCxnSpPr>
      <xdr:spPr>
        <a:xfrm flipH="1" flipV="1">
          <a:off x="10163175" y="10010775"/>
          <a:ext cx="573743" cy="7620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0</xdr:colOff>
      <xdr:row>39</xdr:row>
      <xdr:rowOff>9525</xdr:rowOff>
    </xdr:from>
    <xdr:to>
      <xdr:col>74</xdr:col>
      <xdr:colOff>123826</xdr:colOff>
      <xdr:row>47</xdr:row>
      <xdr:rowOff>0</xdr:rowOff>
    </xdr:to>
    <xdr:cxnSp macro="">
      <xdr:nvCxnSpPr>
        <xdr:cNvPr id="85" name="Прямая соединительная линия 84"/>
        <xdr:cNvCxnSpPr/>
      </xdr:nvCxnSpPr>
      <xdr:spPr>
        <a:xfrm flipH="1">
          <a:off x="9877425" y="10020300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0</xdr:colOff>
      <xdr:row>39</xdr:row>
      <xdr:rowOff>0</xdr:rowOff>
    </xdr:from>
    <xdr:to>
      <xdr:col>74</xdr:col>
      <xdr:colOff>126069</xdr:colOff>
      <xdr:row>47</xdr:row>
      <xdr:rowOff>2</xdr:rowOff>
    </xdr:to>
    <xdr:cxnSp macro="">
      <xdr:nvCxnSpPr>
        <xdr:cNvPr id="86" name="Прямая соединительная линия 85"/>
        <xdr:cNvCxnSpPr/>
      </xdr:nvCxnSpPr>
      <xdr:spPr>
        <a:xfrm flipH="1" flipV="1">
          <a:off x="9877425" y="10010775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0</xdr:colOff>
      <xdr:row>39</xdr:row>
      <xdr:rowOff>0</xdr:rowOff>
    </xdr:from>
    <xdr:to>
      <xdr:col>84</xdr:col>
      <xdr:colOff>123826</xdr:colOff>
      <xdr:row>46</xdr:row>
      <xdr:rowOff>190500</xdr:rowOff>
    </xdr:to>
    <xdr:cxnSp macro="">
      <xdr:nvCxnSpPr>
        <xdr:cNvPr id="87" name="Прямая соединительная линия 86"/>
        <xdr:cNvCxnSpPr/>
      </xdr:nvCxnSpPr>
      <xdr:spPr>
        <a:xfrm flipH="1">
          <a:off x="11306175" y="10010775"/>
          <a:ext cx="266701" cy="152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0</xdr:colOff>
      <xdr:row>38</xdr:row>
      <xdr:rowOff>190500</xdr:rowOff>
    </xdr:from>
    <xdr:to>
      <xdr:col>84</xdr:col>
      <xdr:colOff>126069</xdr:colOff>
      <xdr:row>46</xdr:row>
      <xdr:rowOff>190502</xdr:rowOff>
    </xdr:to>
    <xdr:cxnSp macro="">
      <xdr:nvCxnSpPr>
        <xdr:cNvPr id="88" name="Прямая соединительная линия 87"/>
        <xdr:cNvCxnSpPr/>
      </xdr:nvCxnSpPr>
      <xdr:spPr>
        <a:xfrm flipH="1" flipV="1">
          <a:off x="11306175" y="10001250"/>
          <a:ext cx="268944" cy="15335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4;&#1073;&#1084;&#1077;&#1085;\&#1056;&#1072;&#1089;&#1089;&#1095;&#1105;&#1090;-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казы"/>
      <sheetName val="Визуализатор"/>
      <sheetName val="ТТН"/>
      <sheetName val="Двери"/>
    </sheetNames>
    <sheetDataSet>
      <sheetData sheetId="0">
        <row r="1">
          <cell r="CP1" t="str">
            <v>17.05.25</v>
          </cell>
        </row>
      </sheetData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id="3" name="Цены" displayName="Цены" ref="B3:K299" totalsRowShown="0" headerRowDxfId="116" dataDxfId="114" headerRowBorderDxfId="115" tableBorderDxfId="113" totalsRowBorderDxfId="112">
  <autoFilter ref="B3:K299"/>
  <tableColumns count="10">
    <tableColumn id="1" name="Столбец1" dataDxfId="111"/>
    <tableColumn id="2" name="Параметр" dataDxfId="110"/>
    <tableColumn id="3" name="О_0" dataDxfId="109"/>
    <tableColumn id="4" name="О_1" dataDxfId="108"/>
    <tableColumn id="5" name="О_2" dataDxfId="107"/>
    <tableColumn id="6" name="М_0" dataDxfId="106"/>
    <tableColumn id="7" name="М_1" dataDxfId="105"/>
    <tableColumn id="8" name="М_2" dataDxfId="104"/>
    <tableColumn id="9" name="М_3" dataDxfId="103"/>
    <tableColumn id="10" name="Индивид." dataDxfId="10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" name="Таблица5" displayName="Таблица5" ref="B6:I24" totalsRowShown="0" headerRowDxfId="65" dataDxfId="64">
  <autoFilter ref="B6:I24"/>
  <tableColumns count="8">
    <tableColumn id="1" name="Столбец1"/>
    <tableColumn id="2" name="Столбец2"/>
    <tableColumn id="3" name="Столбец3"/>
    <tableColumn id="4" name="Столбец4"/>
    <tableColumn id="5" name="Столбец5"/>
    <tableColumn id="6" name="Столбец6" dataDxfId="63"/>
    <tableColumn id="7" name="Столбец7" dataDxfId="62"/>
    <tableColumn id="8" name="Столбец8" dataDxfId="6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6" name="Таблица6" displayName="Таблица6" ref="B31:H44" totalsRowShown="0" headerRowDxfId="60">
  <autoFilter ref="B31:H44"/>
  <tableColumns count="7">
    <tableColumn id="1" name="Столбец1"/>
    <tableColumn id="2" name="Верх_0" dataDxfId="59"/>
    <tableColumn id="3" name="Верх_1"/>
    <tableColumn id="4" name="Верх_2"/>
    <tableColumn id="5" name="Верх_3"/>
    <tableColumn id="6" name="Верх_4"/>
    <tableColumn id="7" name="Верх_5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8" name="Таблица8" displayName="Таблица8" ref="B51:I67" totalsRowShown="0" headerRowDxfId="58" dataDxfId="57" tableBorderDxfId="56">
  <autoFilter ref="B51:I67"/>
  <tableColumns count="8">
    <tableColumn id="1" name="Столбец1"/>
    <tableColumn id="2" name="Столбец2" dataDxfId="55"/>
    <tableColumn id="3" name="Столбец3" dataDxfId="54"/>
    <tableColumn id="4" name="Столбец4" dataDxfId="53"/>
    <tableColumn id="5" name="Столбец5" dataDxfId="52"/>
    <tableColumn id="6" name="Столбец6" dataDxfId="51"/>
    <tableColumn id="7" name="Столбец7" dataDxfId="50"/>
    <tableColumn id="8" name="Столбец8" dataDxfId="49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9" name="Таблица9" displayName="Таблица9" ref="C75:I89" totalsRowShown="0" tableBorderDxfId="48">
  <autoFilter ref="C75:I89"/>
  <tableColumns count="7">
    <tableColumn id="3" name="Низ_0" dataDxfId="47">
      <calculatedColumnFormula>B76</calculatedColumnFormula>
    </tableColumn>
    <tableColumn id="1" name="Низ_1"/>
    <tableColumn id="2" name="Низ_2"/>
    <tableColumn id="4" name="Низ_3"/>
    <tableColumn id="5" name="Низ_4"/>
    <tableColumn id="6" name="Низ_5"/>
    <tableColumn id="7" name="Низ_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Таблица15" displayName="Таблица15" ref="L30:S45" totalsRowShown="0">
  <autoFilter ref="L30:S45"/>
  <tableColumns count="8">
    <tableColumn id="1" name="Столбец1"/>
    <tableColumn id="2" name="Столбец2"/>
    <tableColumn id="3" name="Столбец3"/>
    <tableColumn id="6" name="Столбец32" dataDxfId="46"/>
    <tableColumn id="4" name="Столбец4"/>
    <tableColumn id="5" name="Столбец5"/>
    <tableColumn id="7" name="Столбец6"/>
    <tableColumn id="9" name="Столбец7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Таблица16" displayName="Таблица16" ref="L75:R92" totalsRowShown="0">
  <autoFilter ref="L75:R92"/>
  <tableColumns count="7">
    <tableColumn id="1" name="Столбец1"/>
    <tableColumn id="2" name="Столбец2"/>
    <tableColumn id="3" name="Столбец3"/>
    <tableColumn id="4" name="Столбец4"/>
    <tableColumn id="5" name="Столбец5"/>
    <tableColumn id="6" name="Столбец6"/>
    <tableColumn id="7" name="Столбец7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24" name="Таблица24" displayName="Таблица24" ref="P96:R104" totalsRowShown="0" tableBorderDxfId="45">
  <autoFilter ref="P96:R104"/>
  <tableColumns count="3">
    <tableColumn id="1" name="Цил." dataDxfId="44">
      <calculatedColumnFormula>Цена!C231</calculatedColumnFormula>
    </tableColumn>
    <tableColumn id="2" name="Столбец1"/>
    <tableColumn id="3" name="Столбец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4" name="Профдекор" displayName="Профдекор" ref="A15:V217" totalsRowShown="0" headerRowDxfId="43">
  <autoFilter ref="A15:V217"/>
  <tableColumns count="22">
    <tableColumn id="1" name="Наименование" dataDxfId="42"/>
    <tableColumn id="24" name="коэф-т" dataDxfId="41"/>
    <tableColumn id="25" name="0" dataDxfId="40"/>
    <tableColumn id="2" name="ПВХ_Стандарт"/>
    <tableColumn id="3" name="ПВХ_DE"/>
    <tableColumn id="4" name="ПВХ_G"/>
    <tableColumn id="5" name="ПВХ_M"/>
    <tableColumn id="6" name="ПВХ_MD"/>
    <tableColumn id="13" name="ПВХ_MDP"/>
    <tableColumn id="14" name="ПВХ_MI"/>
    <tableColumn id="15" name="ПВХ_SAT"/>
    <tableColumn id="16" name="ПВХ_SM"/>
    <tableColumn id="17" name="ПВХ_ММ"/>
    <tableColumn id="19" name="ПВХ_STM"/>
    <tableColumn id="23" name="Арт_мат" dataDxfId="39">
      <calculatedColumnFormula>1/0</calculatedColumnFormula>
    </tableColumn>
    <tableColumn id="22" name="ПВХ_Заказная"/>
    <tableColumn id="7" name="Матовая"/>
    <tableColumn id="8" name="Глянцевая"/>
    <tableColumn id="9" name="Структурная"/>
    <tableColumn id="10" name="Грунтовка щита МДФ"/>
    <tableColumn id="11" name="Гладкая_стандарт">
      <calculatedColumnFormula>1/0</calculatedColumnFormula>
    </tableColumn>
    <tableColumn id="12" name="Гладкая_нестандарт">
      <calculatedColumnFormula>1/0</calculatedColumnFormula>
    </tableColumn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9" name="Артвинил" displayName="Артвинил" ref="A11:M113" totalsRowShown="0" headerRowDxfId="38" dataDxfId="37" tableBorderDxfId="36" headerRowCellStyle="Обычный 2 2" dataCellStyle="Обычный 3">
  <autoFilter ref="A11:M113"/>
  <tableColumns count="13">
    <tableColumn id="3" name="Столбец3" dataDxfId="35" dataCellStyle="Обычный 2 2"/>
    <tableColumn id="1" name="ПВХ_Стандарт" dataDxfId="34" dataCellStyle="Обычный 2 2"/>
    <tableColumn id="4" name="Антискрэтч_026" dataDxfId="33" dataCellStyle="Обычный 3"/>
    <tableColumn id="5" name="Глянец_032" dataDxfId="32"/>
    <tableColumn id="6" name="Наруж_025" dataDxfId="31" dataCellStyle="Обычный 3"/>
    <tableColumn id="7" name="Внутр_012" dataDxfId="30" dataCellStyle="Обычный 3"/>
    <tableColumn id="8" name="Матовая_018" dataDxfId="29" dataCellStyle="Обычный 3"/>
    <tableColumn id="9" name="Матовая_025" dataDxfId="28" dataCellStyle="Обычный 3"/>
    <tableColumn id="10" name="Матовая_03" dataDxfId="27" dataCellStyle="Обычный 3"/>
    <tableColumn id="11" name="Софт_025_026" dataDxfId="26" dataCellStyle="Обычный 3"/>
    <tableColumn id="12" name="Софт_016" dataDxfId="25" dataCellStyle="Обычный 3"/>
    <tableColumn id="13" name="Шагрень_АВ" dataDxfId="24" dataCellStyle="Обычный 3"/>
    <tableColumn id="14" name="Эмаль_018" dataDxfId="23" dataCellStyle="Обычный 3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23" name="Ева" displayName="Ева" ref="B12:H60" totalsRowShown="0">
  <autoFilter ref="B12:H60"/>
  <tableColumns count="7">
    <tableColumn id="1" name="Столбец1"/>
    <tableColumn id="2" name="Уличные"/>
    <tableColumn id="3" name="ПВХ_015"/>
    <tableColumn id="4" name="ПВХ_018"/>
    <tableColumn id="5" name="Дюны"/>
    <tableColumn id="6" name="софт_032"/>
    <tableColumn id="7" name="Эмали_ла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0" name="Ошибки_цена" displayName="Ошибки_цена" ref="N3:Q299" totalsRowShown="0" headerRowDxfId="101" dataDxfId="99" headerRowBorderDxfId="100">
  <autoFilter ref="N3:Q299"/>
  <tableColumns count="4">
    <tableColumn id="4" name="Столбец1" dataDxfId="98">
      <calculatedColumnFormula>Цены[[#This Row],[Столбец1]]</calculatedColumnFormula>
    </tableColumn>
    <tableColumn id="1" name="Ошибка-1" dataDxfId="97">
      <calculatedColumnFormula>IF(U4=$V$1,"Ошибка-1","")</calculatedColumnFormula>
    </tableColumn>
    <tableColumn id="2" name="Ошибка-2" dataDxfId="96">
      <calculatedColumnFormula>IF(X4=$V$1,"Ошибка-2","")</calculatedColumnFormula>
    </tableColumn>
    <tableColumn id="3" name="Ошибка-3" dataDxfId="95">
      <calculatedColumnFormula>IF(AB4=$V$1,"Ошибка-3","")</calculatedColumnFormula>
    </tableColumn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11" name="Таблица11" displayName="Таблица11" ref="C61:O70" totalsRowShown="0" headerRowDxfId="22">
  <autoFilter ref="C61:O70"/>
  <tableColumns count="13">
    <tableColumn id="2" name="Металл"/>
    <tableColumn id="3" name="металл_"/>
    <tableColumn id="4" name="МДФ_О" dataDxfId="21"/>
    <tableColumn id="5" name="МДФ" dataDxfId="20"/>
    <tableColumn id="6" name="Фанера"/>
    <tableColumn id="7" name="Винкожа_РФ"/>
    <tableColumn id="8" name="Винкожа_Индия"/>
    <tableColumn id="9" name="ДСП"/>
    <tableColumn id="10" name="МДФ_без_молд"/>
    <tableColumn id="11" name="_МДФ"/>
    <tableColumn id="13" name="МДФ_10 лам."/>
    <tableColumn id="1" name="_металл"/>
    <tableColumn id="12" name="Выбор_вн.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10" name="Таблица12" displayName="Таблица12" ref="C27:K56" totalsRowShown="0" headerRowDxfId="19" headerRowBorderDxfId="18" tableBorderDxfId="17">
  <autoFilter ref="C27:K56"/>
  <tableColumns count="9">
    <tableColumn id="8" name="Столбец1" dataDxfId="16"/>
    <tableColumn id="1" name="О_0" dataDxfId="15"/>
    <tableColumn id="2" name="О_1"/>
    <tableColumn id="3" name="О_2"/>
    <tableColumn id="4" name="М_0"/>
    <tableColumn id="5" name="М_1" dataDxfId="14"/>
    <tableColumn id="6" name="М_2" dataDxfId="13"/>
    <tableColumn id="7" name="М_3" dataDxfId="12"/>
    <tableColumn id="9" name="Индивид." dataDxfId="11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7" name="Таблица7" displayName="Таблица7" ref="C5:K17" totalsRowShown="0" headerRowDxfId="10" headerRowBorderDxfId="9" tableBorderDxfId="8">
  <autoFilter ref="C5:K17"/>
  <tableColumns count="9">
    <tableColumn id="8" name="Столбец1" dataDxfId="7"/>
    <tableColumn id="1" name="О_0" dataDxfId="6"/>
    <tableColumn id="2" name="О_1"/>
    <tableColumn id="3" name="О_2"/>
    <tableColumn id="4" name="М_0"/>
    <tableColumn id="5" name="М_1" dataDxfId="5"/>
    <tableColumn id="6" name="М_2" dataDxfId="4"/>
    <tableColumn id="7" name="М_3" dataDxfId="3"/>
    <tableColumn id="9" name="Индивид." dataDxfId="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12" name="Таблица13" displayName="Таблица13" ref="T2:U17" totalsRowShown="0" tableBorderDxfId="1">
  <autoFilter ref="T2:U17"/>
  <tableColumns count="2">
    <tableColumn id="1" name="Материал" dataDxfId="0"/>
    <tableColumn id="2" name="Выбор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13" name="Таблица14" displayName="Таблица14" ref="AA25:AC41" totalsRowShown="0">
  <autoFilter ref="AA25:AC41"/>
  <tableColumns count="3">
    <tableColumn id="1" name="Наименование"/>
    <tableColumn id="2" name="В_полотне"/>
    <tableColumn id="3" name="В_нержаве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Таблица1" displayName="Таблица1" ref="B2:J30" totalsRowShown="0" headerRowDxfId="94" tableBorderDxfId="93">
  <autoFilter ref="B2:J30"/>
  <tableColumns count="9">
    <tableColumn id="1" name="Столбец1"/>
    <tableColumn id="2" name="О_0"/>
    <tableColumn id="3" name="О_1"/>
    <tableColumn id="4" name="О_2"/>
    <tableColumn id="5" name="М_0"/>
    <tableColumn id="6" name="М_1"/>
    <tableColumn id="7" name="М_2"/>
    <tableColumn id="8" name="М_3"/>
    <tableColumn id="9" name="Индивид.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2" name="Двери_1" displayName="Двери_1" ref="A3:B22" totalsRowCount="1">
  <tableColumns count="2">
    <tableColumn id="1" name="Столбец1">
      <calculatedColumnFormula>1+A3</calculatedColumnFormula>
    </tableColumn>
    <tableColumn id="2" name="Столбец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6" name="Таблица17" displayName="Таблица17" ref="S8:AA12" totalsRowShown="0" headerRowDxfId="92" dataDxfId="91">
  <autoFilter ref="S8:AA12"/>
  <tableColumns count="9">
    <tableColumn id="1" name="Столбец1"/>
    <tableColumn id="2" name="О_0" dataDxfId="90"/>
    <tableColumn id="3" name="О_1" dataDxfId="89"/>
    <tableColumn id="4" name="О_2" dataDxfId="88"/>
    <tableColumn id="5" name="М_0" dataDxfId="87"/>
    <tableColumn id="6" name="М_1" dataDxfId="86"/>
    <tableColumn id="7" name="М_2"/>
    <tableColumn id="8" name="М_3"/>
    <tableColumn id="9" name="Индивид." dataDxfId="8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7" name="Таблица18" displayName="Таблица18" ref="S45:AA64" totalsRowShown="0" headerRowDxfId="84" dataDxfId="83">
  <autoFilter ref="S45:AA64"/>
  <tableColumns count="9">
    <tableColumn id="1" name="Столбец1"/>
    <tableColumn id="2" name="О_0" dataDxfId="82"/>
    <tableColumn id="3" name="О_1" dataDxfId="81"/>
    <tableColumn id="4" name="О_2" dataDxfId="80"/>
    <tableColumn id="5" name="М_0" dataDxfId="79"/>
    <tableColumn id="6" name="М_1" dataDxfId="78"/>
    <tableColumn id="7" name="М_2" dataDxfId="77"/>
    <tableColumn id="8" name="М_3" dataDxfId="76"/>
    <tableColumn id="9" name="Столбец2" dataDxfId="7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8" name="Таблица19" displayName="Таблица19" ref="S82:Z111" totalsRowShown="0" headerRowDxfId="74" headerRowBorderDxfId="73">
  <autoFilter ref="S82:Z111"/>
  <tableColumns count="8">
    <tableColumn id="1" name="Столбец1"/>
    <tableColumn id="2" name="О_0"/>
    <tableColumn id="3" name="О_1"/>
    <tableColumn id="4" name="О_2"/>
    <tableColumn id="5" name="М_0"/>
    <tableColumn id="6" name="М_1"/>
    <tableColumn id="7" name="М_2"/>
    <tableColumn id="8" name="М_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21" name="Таблица2022" displayName="Таблица2022" ref="H5:P41" totalsRowShown="0" tableBorderDxfId="72">
  <tableColumns count="9">
    <tableColumn id="1" name="Столбец1" dataDxfId="71" totalsRowDxfId="70"/>
    <tableColumn id="2" name="О_0"/>
    <tableColumn id="3" name="О_1"/>
    <tableColumn id="4" name="О_2"/>
    <tableColumn id="5" name="М_0"/>
    <tableColumn id="6" name="М_1"/>
    <tableColumn id="7" name="М_2"/>
    <tableColumn id="8" name="М_3"/>
    <tableColumn id="9" name="Индивид." dataDxfId="69" totalsRowDxfId="6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22" name="Таблица22" displayName="Таблица22" ref="H56:P58" totalsRowShown="0">
  <autoFilter ref="H56:P58"/>
  <tableColumns count="9">
    <tableColumn id="1" name="Столбец1" dataDxfId="67">
      <calculatedColumnFormula>CONCATENATE($E$14,E61)</calculatedColumnFormula>
    </tableColumn>
    <tableColumn id="2" name="О_0"/>
    <tableColumn id="3" name="О_1"/>
    <tableColumn id="4" name="О_2"/>
    <tableColumn id="5" name="М_0"/>
    <tableColumn id="6" name="М_1"/>
    <tableColumn id="7" name="М_2"/>
    <tableColumn id="8" name="М_3"/>
    <tableColumn id="9" name="Индивид." dataDxfId="6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hyperlink" Target="https://&#1089;&#1090;&#1072;&#1085;&#1084;&#1077;&#1090;.&#1073;&#1077;&#1083;/konstruktor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https://&#1089;&#1090;&#1072;&#1085;&#1084;&#1077;&#1090;.&#1073;&#1077;&#1083;/konstruktor" TargetMode="External"/><Relationship Id="rId1" Type="http://schemas.openxmlformats.org/officeDocument/2006/relationships/hyperlink" Target="https://&#1089;&#1090;&#1072;&#1085;&#1084;&#1077;&#1090;.&#1073;&#1077;&#1083;/konstruktor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Relationship Id="rId9" Type="http://schemas.openxmlformats.org/officeDocument/2006/relationships/ctrlProp" Target="../ctrlProps/ctrlProp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table" Target="../tables/table21.xml"/><Relationship Id="rId1" Type="http://schemas.openxmlformats.org/officeDocument/2006/relationships/table" Target="../tables/table2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4.xml"/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rgb="FFFF0000"/>
    <pageSetUpPr fitToPage="1"/>
  </sheetPr>
  <dimension ref="A1:AL47"/>
  <sheetViews>
    <sheetView showGridLines="0" tabSelected="1" zoomScale="90" zoomScaleNormal="90" workbookViewId="0">
      <selection activeCell="M2" sqref="M2:N2"/>
    </sheetView>
  </sheetViews>
  <sheetFormatPr defaultRowHeight="15"/>
  <cols>
    <col min="1" max="1" width="9.42578125" style="57" customWidth="1"/>
    <col min="2" max="2" width="0.140625" style="57" customWidth="1"/>
    <col min="3" max="3" width="14.5703125" style="57" customWidth="1"/>
    <col min="4" max="4" width="0.140625" style="57" customWidth="1"/>
    <col min="5" max="5" width="10.5703125" style="57" customWidth="1"/>
    <col min="6" max="6" width="0.140625" style="57" customWidth="1"/>
    <col min="7" max="7" width="17.5703125" style="57" customWidth="1"/>
    <col min="8" max="8" width="0.140625" style="57" customWidth="1"/>
    <col min="9" max="9" width="14.85546875" style="57" customWidth="1"/>
    <col min="10" max="10" width="0.140625" style="57" customWidth="1"/>
    <col min="11" max="11" width="7.7109375" style="57" customWidth="1"/>
    <col min="12" max="12" width="0.140625" style="57" customWidth="1"/>
    <col min="13" max="13" width="8.5703125" style="57" customWidth="1"/>
    <col min="14" max="14" width="5.85546875" style="57" customWidth="1"/>
    <col min="15" max="15" width="0.140625" style="57" customWidth="1"/>
    <col min="16" max="16" width="7.42578125" style="57" customWidth="1"/>
    <col min="17" max="17" width="8" style="57" customWidth="1"/>
    <col min="18" max="18" width="0.140625" style="57" customWidth="1"/>
    <col min="19" max="19" width="9.28515625" style="57" customWidth="1"/>
    <col min="20" max="20" width="5.28515625" style="57" customWidth="1"/>
    <col min="21" max="21" width="0.140625" style="57" customWidth="1"/>
    <col min="22" max="22" width="11.28515625" style="57" customWidth="1"/>
    <col min="23" max="23" width="0.140625" style="57" customWidth="1"/>
    <col min="24" max="24" width="15.42578125" style="57" customWidth="1"/>
    <col min="25" max="25" width="0.140625" style="200" customWidth="1"/>
    <col min="26" max="26" width="13.85546875" style="200" customWidth="1"/>
    <col min="27" max="27" width="16.42578125" style="200" customWidth="1"/>
    <col min="28" max="28" width="8" style="200" hidden="1" customWidth="1"/>
    <col min="29" max="29" width="11.7109375" style="200" bestFit="1" customWidth="1"/>
    <col min="30" max="30" width="10" style="200" bestFit="1" customWidth="1"/>
    <col min="31" max="31" width="10.85546875" style="57" bestFit="1" customWidth="1"/>
    <col min="32" max="32" width="9.140625" style="57"/>
    <col min="33" max="33" width="2.5703125" style="57" customWidth="1"/>
    <col min="34" max="34" width="5.7109375" style="57" customWidth="1"/>
    <col min="35" max="36" width="5.140625" style="57" customWidth="1"/>
    <col min="37" max="37" width="11" style="57" hidden="1" customWidth="1"/>
    <col min="38" max="39" width="5.140625" style="57" customWidth="1"/>
    <col min="40" max="16384" width="9.140625" style="57"/>
  </cols>
  <sheetData>
    <row r="1" spans="1:38" ht="22.5" customHeight="1">
      <c r="A1" s="244" t="str">
        <f>CONCATENATE(M1,N1)</f>
        <v>1ЖЖ</v>
      </c>
      <c r="B1" s="869" t="str">
        <f>IF(V3=0,"Введи ширину",V3)</f>
        <v>Введи ширину</v>
      </c>
      <c r="C1" s="869"/>
      <c r="D1" s="222"/>
      <c r="E1" s="371"/>
      <c r="F1" s="388"/>
      <c r="G1" s="389" t="str">
        <f>IF(S1="",CONCATENATE($AE$1," ",$AF$1),IF(VLOOKUP(A1,[1]!Заказы[#Data],84,0)="","",VLOOKUP(A1,[1]!Заказы[#Data],84,0)))</f>
        <v>вер.2 17.05.25</v>
      </c>
      <c r="H1" s="56"/>
      <c r="I1" s="879" t="s">
        <v>83</v>
      </c>
      <c r="J1" s="879"/>
      <c r="K1" s="879"/>
      <c r="L1" s="879"/>
      <c r="M1" s="621" t="s">
        <v>1670</v>
      </c>
      <c r="N1" s="253" t="s">
        <v>1671</v>
      </c>
      <c r="P1" s="639"/>
      <c r="Q1" s="640" t="str">
        <f>IF(N1="СК",CONCATENATE(AK7,IF(AK7="","П",""),""),"")</f>
        <v/>
      </c>
      <c r="R1" s="65"/>
      <c r="S1" s="876" t="str">
        <f>IFERROR(VLOOKUP(A1,[1]!Заказы[#Data],3,0),"")</f>
        <v/>
      </c>
      <c r="T1" s="876"/>
      <c r="U1" s="241"/>
      <c r="V1" s="876"/>
      <c r="W1" s="876">
        <f>(HLOOKUP(M2,Цены[#All],2,0)+Цена!U3+SUM(Цена!U33:U35))*Y1</f>
        <v>160</v>
      </c>
      <c r="X1" s="173">
        <f>IF(N1="ТД ","",IF(AND(S1="",Z1=""),W1*AB2+AB3+D6/RUR,""))</f>
        <v>160</v>
      </c>
      <c r="Y1" s="227">
        <v>1</v>
      </c>
      <c r="Z1" s="178" t="str">
        <f>IFERROR(IF(Z2="","","Ошибка!"),"")</f>
        <v/>
      </c>
      <c r="AA1" s="404" t="str">
        <f>IF(N1="ТД ",(W1*AB2+AB3)*0.92,"")</f>
        <v/>
      </c>
      <c r="AB1" s="231" t="str">
        <f>IF(OR(N1="ИДР",N1="ВМ"),"курс =",IF(OR(AD1="",AD1=0),"","курс ="))</f>
        <v>курс =</v>
      </c>
      <c r="AC1" s="232"/>
      <c r="AD1" s="785">
        <v>3.3</v>
      </c>
      <c r="AE1" s="393" t="str">
        <f>IF(Y1=1,"вер.2",Y1)</f>
        <v>вер.2</v>
      </c>
      <c r="AF1" s="391" t="s">
        <v>1667</v>
      </c>
      <c r="AI1" s="392"/>
      <c r="AK1" s="57" t="str">
        <f>IF(OR(AND(F9="МДФ",OR(E10="ПДТ",E10="АВ",E10="ЕТ")),OR(F11="МДФ",F11="МДФ_без_молд",E12="ПДТ",E12="АВ",E12="ЕТ")),"ДВ2 ",IF(OR(V10="Грунт+Силикон",V10="СФ+Силикон"),"ДН ","ДВ2 "))</f>
        <v xml:space="preserve">ДВ2 </v>
      </c>
    </row>
    <row r="2" spans="1:38" ht="24" customHeight="1">
      <c r="A2" s="850" t="str">
        <f>IF(X3=0,"Введи высоту",X3)</f>
        <v>Введи высоту</v>
      </c>
      <c r="B2" s="148"/>
      <c r="D2" s="64"/>
      <c r="E2" s="56"/>
      <c r="F2" s="56"/>
      <c r="G2" s="315" t="str">
        <f>IF(S1="","",IF(G1="","","Счёт №_______"))</f>
        <v/>
      </c>
      <c r="I2" s="58"/>
      <c r="J2" s="58"/>
      <c r="K2" s="82" t="s">
        <v>84</v>
      </c>
      <c r="L2" s="66" t="str">
        <f>IF(OR(M2="М_0",M2="М_1",M2="М_2",M2="М_3"),"М",IF(M2="Индивид.","И","О"))</f>
        <v>О</v>
      </c>
      <c r="M2" s="873" t="s">
        <v>412</v>
      </c>
      <c r="N2" s="874"/>
      <c r="O2" s="235" t="str">
        <f>IF(P2="",HLOOKUP(M2,Таблица1[#All],3,0),P2)</f>
        <v>1,0 мм</v>
      </c>
      <c r="P2" s="458"/>
      <c r="Q2" s="459"/>
      <c r="R2" s="241" t="str">
        <f>IF(S2="",IF(S1="",IF(G6="ПКТ","3-х конт.",IF(S2="",HLOOKUP(M2,Таблица1[#All],2,0),S2)),IF(G6="ПКТ","3-х конт.","")),S2)</f>
        <v>2-х конт.</v>
      </c>
      <c r="S2" s="243"/>
      <c r="T2" s="113"/>
      <c r="U2" s="241" t="str">
        <f>IF(S1="",IF(AND(V2="",Цена!$U$36=Цена!$D$36),Цена!$T$36,IF(V2="",HLOOKUP(M2,Таблица1[#All],6,0),V2)),IF(Цена!$U$36="","",Цена!$T$36))</f>
        <v>2 петли</v>
      </c>
      <c r="V2" s="240"/>
      <c r="W2" s="241" t="str">
        <f>IF(M2="Индивид.","",IF(S1="",IF(X2="","наружняя",X2),""))</f>
        <v>наружняя</v>
      </c>
      <c r="X2" s="272"/>
      <c r="Y2" s="201"/>
      <c r="Z2" s="603" t="str">
        <f>IF(INDEX(Ошибки_цена[#All],Цена!O1,1)=0,"",INDEX(Ошибки_цена[#All],Цена!O1,1))</f>
        <v/>
      </c>
      <c r="AA2" s="178"/>
      <c r="AB2" s="284">
        <f>IF(N1="ДР",0.97,IF(OR(N1="НВ",N1="Сл",N1="КЛ"),0.95,IF(OR(N1="ТД",N1="Хо",N1="АА"),0.9,1)))</f>
        <v>1</v>
      </c>
      <c r="AC2" s="202"/>
      <c r="AD2" s="790"/>
      <c r="AE2" s="250" t="str">
        <f>Цена!B1</f>
        <v>прайс с 14.03.25 г.</v>
      </c>
      <c r="AF2" s="249"/>
      <c r="AG2" s="249"/>
      <c r="AK2" s="388" t="str">
        <f>IF(C13="","СГ","СЧ")</f>
        <v>СГ</v>
      </c>
      <c r="AL2" s="408" t="str">
        <f>IF(C13="","",IF(AND(AK2="СЧ",X6=""),"",X6 ))</f>
        <v/>
      </c>
    </row>
    <row r="3" spans="1:38" ht="22.5" customHeight="1">
      <c r="A3" s="850"/>
      <c r="B3" s="64"/>
      <c r="C3" s="405" t="str">
        <f ca="1">IF(S1="",IF((C15-$AF$1)&gt;45,"Обновите Бланк!",IF(G1=$AF$1,"",IF($AF$1=[1]Заказы!CP$1,"","СТАРЫЙ БЛАНК!"))),"")</f>
        <v/>
      </c>
      <c r="F3" s="314" t="str">
        <f>IF(S1="",IF(G3="",IF(OR(O4=0,O4=""),"","без съём-х доборов"),G3),"")</f>
        <v/>
      </c>
      <c r="G3" s="301"/>
      <c r="H3" s="872" t="str">
        <f>IF(M2="Индивид.","","Сторона откр-ния:")</f>
        <v>Сторона откр-ния:</v>
      </c>
      <c r="I3" s="872"/>
      <c r="J3" s="872"/>
      <c r="K3" s="872"/>
      <c r="L3" s="872"/>
      <c r="M3" s="872"/>
      <c r="N3" s="156"/>
      <c r="O3" s="88"/>
      <c r="P3" s="863" t="s">
        <v>1338</v>
      </c>
      <c r="Q3" s="864"/>
      <c r="R3" s="510"/>
      <c r="S3" s="887" t="s">
        <v>86</v>
      </c>
      <c r="T3" s="871"/>
      <c r="U3" s="466" t="str">
        <f>IF(AND(N1="ЖЖ",V3=""),"800",IF(V3="","799",V3))</f>
        <v>800</v>
      </c>
      <c r="V3" s="465"/>
      <c r="W3" s="466" t="str">
        <f>IF(AND(N1="ЖЖ",X3=""),"2000",IF(X3="","1999",X3))</f>
        <v>2000</v>
      </c>
      <c r="X3" s="462"/>
      <c r="Y3" s="203"/>
      <c r="Z3" s="776">
        <f>IF(S1="",IF(AD1="","",ROUND(G7/120*100,2)),"")</f>
        <v>440</v>
      </c>
      <c r="AA3" s="274" t="str">
        <f>IF(S1="",IF(AD1="",""," - без НДС"),"")</f>
        <v xml:space="preserve"> - без НДС</v>
      </c>
      <c r="AB3" s="316"/>
      <c r="AC3" s="324" t="str">
        <f>IF(OR(F9="МДФ",F11="МДФ",F11="МДФ_"),"Базу по фрезеровкам сверяйте на:","")</f>
        <v/>
      </c>
      <c r="AD3" s="146"/>
      <c r="AE3" s="394">
        <f>Цена!B2</f>
        <v>0</v>
      </c>
      <c r="AF3" s="395"/>
      <c r="AI3" s="285"/>
      <c r="AK3" s="57" t="str">
        <f>IF(X2="внутренняя","Вн ","")</f>
        <v/>
      </c>
    </row>
    <row r="4" spans="1:38" ht="21.75" customHeight="1">
      <c r="A4" s="850"/>
      <c r="B4" s="64" t="str">
        <f>IF(OR(X3="",X3=2050),"",1)</f>
        <v/>
      </c>
      <c r="C4" s="200" t="str">
        <f>IF(S1="",IF(AND(материалы!S26="",OR(материалы!T6="",материалы!T6="S доп.=")),"","ВЫБЕРИ нужную картинку"),"")</f>
        <v/>
      </c>
      <c r="E4" s="56"/>
      <c r="F4" s="56"/>
      <c r="G4" s="81" t="str">
        <f>IF(M2="Индивид.","","Уплотнитель:")</f>
        <v>Уплотнитель:</v>
      </c>
      <c r="H4" s="235" t="str">
        <f>IF(M2="Индивид.","",IF(I4="","резиновый",I4))</f>
        <v>резиновый</v>
      </c>
      <c r="I4" s="671"/>
      <c r="J4" s="68"/>
      <c r="K4" s="68"/>
      <c r="L4" s="136" t="str">
        <f>IF(G6="ПКТ",Paroc,IF(M4="",материалы!$B$81,M4))</f>
        <v>Isover</v>
      </c>
      <c r="M4" s="237"/>
      <c r="N4" s="114"/>
      <c r="O4" s="765">
        <f>IF(AND(материалы!S26="",дверь!A24=""),0,IF(дверь!A24="","выбери добор",дверь!A24))</f>
        <v>0</v>
      </c>
      <c r="P4" s="766"/>
      <c r="Q4" s="767"/>
      <c r="R4" s="857" t="str">
        <f>IF(дверь!A25="",IF(дверь!A25="",IF(V3&gt;1080,IF(дверь!A25="",дверь!A26),""),дверь!A25),дверь!A25)</f>
        <v/>
      </c>
      <c r="S4" s="858"/>
      <c r="T4" s="859"/>
      <c r="U4" s="463"/>
      <c r="V4" s="542" t="str">
        <f>IF(M2="Индивид.","",IF(S1="",материалы!T6,""))</f>
        <v/>
      </c>
      <c r="W4" s="461" t="str">
        <f>IF(M2="Индивид.","",IF(X4="","","S доп.="))</f>
        <v/>
      </c>
      <c r="X4" s="288" t="str">
        <f>IF(M2="Индивид.","",IF(S1="",IF(материалы!S26="",IF(IF(V3*X3/10000&gt;210,V3*X3/10000-210,0)=0,"",IF(V3*X3/10000&gt;210,V3*X3/10000-210,0)),материалы!S26),""))</f>
        <v/>
      </c>
      <c r="Y4" s="174"/>
      <c r="AB4" s="317"/>
      <c r="AC4" s="326" t="str">
        <f>IF(AC3="","","https://Станмет.бел/konstruktor")</f>
        <v/>
      </c>
      <c r="AH4" s="390"/>
      <c r="AK4" s="57">
        <f>ROUND(X3/100,0)</f>
        <v>0</v>
      </c>
    </row>
    <row r="5" spans="1:38" ht="22.5" customHeight="1">
      <c r="A5" s="850"/>
      <c r="B5" s="64" t="str">
        <f>IF(OR(V3="",V3=860,V3=960),"",1)</f>
        <v/>
      </c>
      <c r="C5" s="677" t="str">
        <f>IF(S1="",IF(AND(B5="",B4=""),"",IF(OR(B4=1,B5=1),"НЕ СТАНДАРТ+20р.","")),"")</f>
        <v/>
      </c>
      <c r="D5" s="222"/>
      <c r="E5" s="74"/>
      <c r="F5" s="332">
        <f>IF(X2="внутренняя","",IF(AND(G9="Фанера",G5=""),"Наличник_Фанера",IF(AND(OR(F9="МДФ_",F9="МДФ"),G5=""),"Наличник_МДФ",G5)))</f>
        <v>0</v>
      </c>
      <c r="G5" s="331"/>
      <c r="H5" s="329">
        <f>IF(AND(L5=0,O5=0,R5=0),"",IF(X2="внутренняя","",IF(AND(OR(F9="МДФ",F9="МДФ_",G9="Фанера"),G5="",I5=""),"Стандарт",IF(AND(I5="",G5="Капитель_"),"Капелла",I5))))</f>
        <v>0</v>
      </c>
      <c r="I5" s="330"/>
      <c r="J5" s="131"/>
      <c r="L5" s="763" t="str">
        <f>IF(AND(M2="Индивид.",G9=""),0,IF(M5="","50",M5))</f>
        <v>50</v>
      </c>
      <c r="M5" s="769"/>
      <c r="N5" s="188"/>
      <c r="O5" s="775" t="str">
        <f>IF(AND(M2="Индивид.",G9=""),0,IF(P5="","50",P5))</f>
        <v>50</v>
      </c>
      <c r="P5" s="769"/>
      <c r="Q5" s="764"/>
      <c r="R5" s="773" t="str">
        <f>IF(AND(M2="Индивид.",G9=""),0,IF(S5="","50",S5))</f>
        <v>50</v>
      </c>
      <c r="S5" s="769"/>
      <c r="T5" s="774"/>
      <c r="U5" s="69"/>
      <c r="V5" s="85" t="str">
        <f>IF(M2="Индивид.","","Крепл-е:")</f>
        <v>Крепл-е:</v>
      </c>
      <c r="W5" s="276" t="str">
        <f>IF(M2="Индивид.","",IF(X5="","д.10",X5))</f>
        <v>д.10</v>
      </c>
      <c r="X5" s="460"/>
      <c r="Y5" s="204"/>
      <c r="Z5" s="204"/>
      <c r="AA5" s="204"/>
      <c r="AB5" s="204"/>
      <c r="AD5" s="205" t="s">
        <v>410</v>
      </c>
      <c r="AK5" s="57">
        <f>ROUND(V3/100,0)</f>
        <v>0</v>
      </c>
    </row>
    <row r="6" spans="1:38" ht="23.25" customHeight="1">
      <c r="A6" s="850"/>
      <c r="C6" s="64"/>
      <c r="D6" s="64">
        <f>IF(C5="НЕ СТАНДАРТ+20р.",20,0)</f>
        <v>0</v>
      </c>
      <c r="F6" s="399" t="str">
        <f>IF(M2="Индивид.","",IF(S1="",IF(OR(M2="О_0",M2="О_1",M2="М_0",M2="М_1"),"Без Микро-Термо разрыва",IF(G6="","Без ПКТ",G6)),""))</f>
        <v>Без Микро-Термо разрыва</v>
      </c>
      <c r="G6" s="641"/>
      <c r="H6" s="131"/>
      <c r="I6" s="166"/>
      <c r="J6" s="166"/>
      <c r="K6" s="166"/>
      <c r="L6" s="168" t="str">
        <f>IF(M2="Индивид.","","Замки:")</f>
        <v>Замки:</v>
      </c>
      <c r="N6" s="52" t="str">
        <f>IF(M2="Индивид.","",IF(OR(S2="3-х конт.",G6="Терморазрыв"),IF(AND(OR(S2="3-х конт.",G6="Терморазрыв"),F9="металл"),"Верх","Верх."),"Верх_"))</f>
        <v>Верх_</v>
      </c>
      <c r="O6" s="498" t="str">
        <f>IF(P6="",IF(Фурнитура!B5=0,"",HLOOKUP(Фурнитура!B5,Таблица6[#All],3,0)),P6)</f>
        <v/>
      </c>
      <c r="P6" s="827"/>
      <c r="Q6" s="768"/>
      <c r="R6" s="770" t="str">
        <f>IF(AND(S6="",G6="ПКТ"),"Авт.Crit",IF(AND(S6="",S1=""),IF(OR(O6="",O6="нет"),"",IF(S6="","без шторки",S6)),S6))</f>
        <v/>
      </c>
      <c r="S6" s="771"/>
      <c r="T6" s="772"/>
      <c r="U6" s="74" t="str">
        <f>IF(O6=0,"",IF(AND(OR(M2="О_2",M2="М_3"),OR(I9="_12мм",I9="_16мм",I9="_12_влаго",I9="_16_влаго")),"Шторка_О_2_М_3","Шторка"))</f>
        <v>Шторка</v>
      </c>
      <c r="V6" s="84" t="str">
        <f>IF(M2="Индивид.","",IF(C13="","Глазок","Окно_шт"))</f>
        <v>Глазок</v>
      </c>
      <c r="W6" s="634" t="str">
        <f>IF(M2="Индивид.","",IF(AND(V6="Окно_шт",X6=""),"1",IF(G11="металл_","нет",IF(C13="",IF(X6="","Круг хром",X6),X6))))</f>
        <v>Круг хром</v>
      </c>
      <c r="X6" s="633"/>
      <c r="Y6" s="846" t="str">
        <f>IF(AND(V6="Окно_шт",OR(X6="Да",X6="Нет",X6="")),IF(OR(S4="2-х створ.",O4="Добор 1 шт.",O4="Добор 2 шт.",O4="Добор 3 шт."),"- выбери кол-во окон",""),"")</f>
        <v/>
      </c>
      <c r="Z6" s="847"/>
      <c r="AA6" s="401"/>
      <c r="AB6" s="206"/>
      <c r="AK6" s="57" t="str">
        <f>IF(R4="2-х створ."," 2","")</f>
        <v/>
      </c>
    </row>
    <row r="7" spans="1:38" ht="23.25" customHeight="1">
      <c r="B7" s="407" t="str">
        <f>P3</f>
        <v>выбор</v>
      </c>
      <c r="D7" s="59"/>
      <c r="F7" s="56"/>
      <c r="G7" s="619">
        <f>IF(AD2="",IF(AD1="","",IF(X1="","",IF(AB1="курс =",ROUND(X1*AD1+O15,2),""))),AD2)</f>
        <v>528</v>
      </c>
      <c r="J7" s="183" t="str">
        <f>IF(O7="","","регулятор")</f>
        <v>регулятор</v>
      </c>
      <c r="K7" s="182"/>
      <c r="L7" s="56"/>
      <c r="N7" s="52" t="str">
        <f>IF(M2="Индивид.","",IF(OR(S2="3-х конт.",G6="Терморазрыв"),"Низ","Низ_"))</f>
        <v>Низ_</v>
      </c>
      <c r="O7" s="507" t="str">
        <f>IF(M2="Индивид.","",IF(F8="Пожарка",Цена!C205,IF(P7="",HLOOKUP(Фурнитура!B50,Таблица9[#All],3,0),P7)))</f>
        <v>Vela Т-42</v>
      </c>
      <c r="P7" s="417"/>
      <c r="Q7" s="413"/>
      <c r="R7" s="645" t="str">
        <f>IF(OR(P7="Kale 155 рол.",P7="Kale155-В рол.",B8="Р001",B8="Порошок",O7="",B8="AVERS_HP_72.1303"),"",IF(S7="","без_накладки",S7))</f>
        <v/>
      </c>
      <c r="S7" s="418"/>
      <c r="T7" s="669" t="str">
        <f>IF(M2="Индивид.","",IF(P7="Kale155-В рол.","",IF(U7="чёрный","Цил","Цил.")))</f>
        <v>Цил.</v>
      </c>
      <c r="U7" s="668" t="str">
        <f>IF(M2="Индивид.","",IF(P7="Kale155-В рол.","",IF(F8="Чёрная","чёрный",IF(AND(G6="ПКТ",V7=""),Цена!$C$238,IF(V7="","Стандарт",V7)))))</f>
        <v>Стандарт</v>
      </c>
      <c r="V7" s="786"/>
      <c r="W7" s="830" t="str">
        <f>IF(M2="Индивид.","",IF(P7="Kale155-В рол.","",IF(V7="","Сл/Пв",VLOOKUP(Бланк!V7,Таблица24[#All],2,0))))</f>
        <v>Сл/Пв</v>
      </c>
      <c r="X7" s="829"/>
      <c r="Y7" s="175"/>
      <c r="Z7" s="600" t="str">
        <f>IF(C8="Crit_развёр.","",IF(P7="Крит А-8","выбери ручку Crit_развёр.",""))</f>
        <v/>
      </c>
      <c r="AA7" s="175"/>
      <c r="AB7" s="175"/>
      <c r="AK7" s="388" t="b">
        <f>IF(AND(S4="2-х створ.",P3="левая")," 2Л",IF(AND(S4="",P3="левая")," Л",IF(AND(S4="",P3="правая"),"Пр")))</f>
        <v>0</v>
      </c>
    </row>
    <row r="8" spans="1:38" ht="20.25" customHeight="1">
      <c r="A8" s="161" t="str">
        <f>IF(M2="Индивид.","","Ручки")</f>
        <v>Ручки</v>
      </c>
      <c r="B8" s="278" t="str">
        <f>IF(P7="Биометрический","био",IF(AND(OR(S2="3-х конт.",G6="ПКТ"),C8=""),"розетка",IF(C8="",HLOOKUP(M2,Таблица1[#All],10,0),C8)))</f>
        <v>Порошок</v>
      </c>
      <c r="C8" s="840"/>
      <c r="D8" s="500"/>
      <c r="E8" s="82" t="str">
        <f>IF(M2="Индивид.","","Цвет")</f>
        <v>Цвет</v>
      </c>
      <c r="F8" s="826" t="str">
        <f>IF(G8="",VLOOKUP(B8,Цвет,2,0),G8)</f>
        <v>медь</v>
      </c>
      <c r="G8" s="838"/>
      <c r="H8" s="213" t="str">
        <f>IF(M2="Индивид.","",IF(S1="",IF(I8="","без доводчика",I8),""))</f>
        <v>без доводчика</v>
      </c>
      <c r="I8" s="256"/>
      <c r="J8" s="59"/>
      <c r="K8" s="59"/>
      <c r="L8" s="59"/>
      <c r="M8" s="71" t="str">
        <f>IF(M2="Индивид.","","Задвижка")</f>
        <v>Задвижка</v>
      </c>
      <c r="N8" s="71"/>
      <c r="O8" s="276" t="str">
        <f>IF(P8="",HLOOKUP(M2,Таблица1[#All],9,0),P8)</f>
        <v>нет</v>
      </c>
      <c r="P8" s="189"/>
      <c r="Q8" s="159"/>
      <c r="R8" s="103" t="str">
        <f>IF(M2="Индивид.","",IF(S1="",IF(S8="","без геркона",S8),""))</f>
        <v>без геркона</v>
      </c>
      <c r="S8" s="416"/>
      <c r="T8" s="167"/>
      <c r="U8" s="56"/>
      <c r="V8" s="160" t="str">
        <f>IF(O7="","",IF(R7="без_накладки","Броня",""))</f>
        <v/>
      </c>
      <c r="W8" s="277" t="str">
        <f>IF(OR(S7="DP-11",P7="биометрический"),"нет",IF(AND(R2="3-х конт.",S7="",X8=""),Цена!C222,IF(V8="","нет",IF(X8="",HLOOKUP(M2,Таблица1[#All],14,0),X8))))</f>
        <v>нет</v>
      </c>
      <c r="X8" s="631"/>
      <c r="Y8" s="176"/>
      <c r="Z8" s="281" t="str">
        <f>IF(S7="",IF(AND(OR(S2="3-х конт.",G6="ПКТ",R7="без_накладки"),OR(W8="",X8="нет")),"- Выбери броню",""),"")</f>
        <v/>
      </c>
      <c r="AA8" s="281"/>
      <c r="AB8" s="176"/>
      <c r="AK8" s="57" t="s">
        <v>876</v>
      </c>
    </row>
    <row r="9" spans="1:38" ht="31.5" customHeight="1">
      <c r="A9" s="852" t="str">
        <f>IF(F9="Фанера","",IF(OR(I9="_8_влаго",I9="_10_влаго",I9="_12_влаго",I9="_16_влаго"),"",IF(OR(M9="ХФ_1",M9="ХФ_2",M9="ХФ_3",E10="окраска"),"Выберите наружний влагостойкий щит","")))</f>
        <v/>
      </c>
      <c r="B9" s="852"/>
      <c r="C9" s="852"/>
      <c r="D9" s="70"/>
      <c r="E9" s="275" t="s">
        <v>315</v>
      </c>
      <c r="F9" s="259" t="str">
        <f>IF(G9="",HLOOKUP(M2,Таблица1[#All],17,0),G9)</f>
        <v>_металл</v>
      </c>
      <c r="G9" s="267"/>
      <c r="H9" s="279" t="str">
        <f>IF(F9="","",IF(G9="Фанера","_12мм.",IF(OR(F9="металл",F9="_металл"),O2,IF(I9="",HLOOKUP(F9,Таблица11[#All],2,0),I9))))</f>
        <v>1,0 мм</v>
      </c>
      <c r="I9" s="378"/>
      <c r="J9" s="379" t="str">
        <f>IF(AND(OR(VLOOKUP(H9,Таблица13[#All],2,0)="фрез",VLOOKUP(H9,Таблица13[#All],2,0)="фрез.",VLOOKUP(H9,Таблица13[#All],2,0)="фрез.."),K9="ЛАЗЕР"),"ОШИБКА",IF(AND(VLOOKUP(H9,Таблица13[#All],2,0)="лаз.",K9="ЛАЗЕР"),K9,VLOOKUP(H9,Таблица13[#All],2,0)))</f>
        <v>лаз.</v>
      </c>
      <c r="K9" s="400"/>
      <c r="L9" s="498">
        <f>IF(I9="Заказчика","",IF(M9="",HLOOKUP(M2,Таблица1[#All],20,0),M9))</f>
        <v>0</v>
      </c>
      <c r="M9" s="622"/>
      <c r="N9" s="623"/>
      <c r="O9" s="139" t="str">
        <f>IF(F9="Фанера","Фанера",IF(E10="окраска","окраска",IF(OR(M9="ХФ_1",M9="ХФ_2",M9="ХФ_3"),"плёнка",IF(D10="_плёнка","плёнка",D10))))</f>
        <v/>
      </c>
      <c r="P9" s="880"/>
      <c r="Q9" s="881"/>
      <c r="R9" s="235" t="str">
        <f>IF(M2="Индивид.","",IF(S1="",IF(S9="","Одноцвет",S9),""))</f>
        <v>Одноцвет</v>
      </c>
      <c r="S9" s="238"/>
      <c r="T9" s="234"/>
      <c r="U9" s="104" t="str">
        <f>IF(V9="",HLOOKUP(M2,Таблица1[#All],16,0),V9)</f>
        <v>шагрень</v>
      </c>
      <c r="V9" s="181"/>
      <c r="W9" s="195"/>
      <c r="X9" s="266"/>
      <c r="Y9" s="207"/>
      <c r="Z9" s="265" t="str">
        <f>IF(M2="Индивид.","",IF(X9="","- Выбери Цвет",""))</f>
        <v>- Выбери Цвет</v>
      </c>
      <c r="AA9" s="265"/>
      <c r="AB9" s="207"/>
      <c r="AK9" s="388" t="str">
        <f>IF(OR(Номер_открывания_1=2,Номер_открывания_1=4,Номер_открывания_1=6,Номер_открывания_1=12,Номер_открывания_1=14,Номер_открывания_1=16)," Фр","")</f>
        <v/>
      </c>
    </row>
    <row r="10" spans="1:38" ht="31.5" customHeight="1">
      <c r="A10" s="852" t="str">
        <f>IF(OR(E10="окраска",G9="Фанера"),"",IF(AND(F10="Винорит",OR(G10="Винорит",G10="")),"",IF(OR(M9="ХФ_1",M9="ХФ_2",M9="ХФ_3"),"Выберите Винорит","")))</f>
        <v/>
      </c>
      <c r="B10" s="852"/>
      <c r="C10" s="852"/>
      <c r="D10" s="322" t="str">
        <f>IF(OR(E10="окраска",F9="Фанера"),"Окраска_",IF(IF(G9="МДФ","_плёнка",HLOOKUP(M2,Таблица1[#All],21,0))=0,"",IF(G9="МДФ","_плёнка",HLOOKUP(M2,Таблица1[#All],21,0))))</f>
        <v/>
      </c>
      <c r="E10" s="323"/>
      <c r="F10" s="224">
        <f>IF(AND(F9="Фанера",G10=""),"Матовая",IF(AND(E10="_плёнка",OR(M9="ХФ_1",M9="ХФ_2",M9="ХФ_3")),"Винорит",IF(E10="окраска",G10,IF(AND(F9="Фанера",G10=""),"Матовая",IF(G10="",HLOOKUP($M2,Таблица1[#All],22,0),G10)))))</f>
        <v>0</v>
      </c>
      <c r="G10" s="457"/>
      <c r="H10" s="138"/>
      <c r="I10" s="853"/>
      <c r="J10" s="853"/>
      <c r="K10" s="854"/>
      <c r="L10" s="853"/>
      <c r="M10" s="855"/>
      <c r="N10" s="855"/>
      <c r="O10" s="518" t="str">
        <f>IF(S1="",IF(OR(F10="Винорит",E10="окраска"),IF(P10="",HLOOKUP(M2,Таблица1[#All],29,0),P10),IF(G9="Фанера","Патина","")),"")</f>
        <v/>
      </c>
      <c r="P10" s="261"/>
      <c r="Q10" s="261"/>
      <c r="R10" s="105" t="str">
        <f>IF(O10="Патина","Цвет патины","")</f>
        <v/>
      </c>
      <c r="S10" s="320"/>
      <c r="T10" s="321"/>
      <c r="U10" s="497"/>
      <c r="V10" s="884"/>
      <c r="W10" s="884"/>
      <c r="X10" s="885"/>
      <c r="Y10" s="200" t="e">
        <f>MATCH(F10,Профдекор[#Headers],0)</f>
        <v>#N/A</v>
      </c>
      <c r="Z10" s="721"/>
      <c r="AA10" s="319"/>
      <c r="AB10" s="206"/>
      <c r="AI10" s="285"/>
    </row>
    <row r="11" spans="1:38" ht="31.5" customHeight="1">
      <c r="A11" s="852" t="str">
        <f>IF(F11="Фанера","",IF(OR(I11="_8_влаго",I11="_10_влаго",I11="_12_влаго",I11="_16_влаго"),"",IF(OR(M11="ХФ_1",M11="ХФ_2",M11="ХФ_3",E12="окраска"),"Выберите внутрен. влагостойкий щит","")))</f>
        <v/>
      </c>
      <c r="B11" s="852"/>
      <c r="C11" s="852"/>
      <c r="D11" s="467"/>
      <c r="E11" s="275" t="s">
        <v>316</v>
      </c>
      <c r="F11" s="259" t="str">
        <f>IF(G6="ПКТ",Таблица11[[#Headers],[МДФ_без_молд]],IF('Отделка, таб.'!E21="3-х конт.","_МДФ",IF(G11="",HLOOKUP(M2,Таблица1[#All],23,0),G11)))</f>
        <v>МДФ_10 лам.</v>
      </c>
      <c r="G11" s="280"/>
      <c r="H11" s="494" t="str">
        <f>IF(G11="без отделки","",IF(G11="Фанера","_12мм.",IF(I11="",HLOOKUP(F11,Таблица11[#All],2,0),I11)))</f>
        <v>Белый</v>
      </c>
      <c r="I11" s="378"/>
      <c r="J11" s="509">
        <f>IF(K11="",IF(OR(F11="МДФ",F11="МДФ_",F11="Фанера",G11="МДФ_без_молд"),"фрез",K11),"")</f>
        <v>0</v>
      </c>
      <c r="K11" s="508"/>
      <c r="L11" s="133">
        <f>IF(I11="Заказчика","",IF(M11="",HLOOKUP(M2,Таблица1[#All],25,0),M11))</f>
        <v>0</v>
      </c>
      <c r="M11" s="622"/>
      <c r="N11" s="623"/>
      <c r="O11" s="499" t="str">
        <f>IF(G11="Фанера","Фанера",IF(E12="окраска","окраска",IF(OR(M11="ХФ_1",M11="ХФ_2",M11="ХФ_3"),"плёнка",IF(D12="_плёнка","плёнка",D12))))</f>
        <v/>
      </c>
      <c r="P11" s="880"/>
      <c r="Q11" s="881"/>
      <c r="R11" s="106">
        <f>IF(S1="",IF(OR(F11="МДФ",F11="МДФ_",F11="Фанера"),"без портала",S11),"")</f>
        <v>0</v>
      </c>
      <c r="S11" s="262"/>
      <c r="T11" s="163"/>
      <c r="U11" s="91" t="str">
        <f>IF(V11="",IF(S11="","","2,5 шт."),V11)</f>
        <v/>
      </c>
      <c r="V11" s="263"/>
      <c r="W11" s="197"/>
      <c r="X11" s="264"/>
      <c r="Y11" s="287" t="str">
        <f>IF(OR(F11="МДФ",F11="МДФ_"),IF(M11="без фрез.","","щит"),"")</f>
        <v/>
      </c>
      <c r="Z11" s="286" t="str">
        <f>IF(_xlfn.IFNA('Отделка, таб.'!D24,"Не верный ввод МДФ")=0,IF(Y11="Щит0","Выбери щит и фрезеровку",IF(AND(Y11="щит",P11=""),"Выбери фрезеровку","")),_xlfn.IFNA('Отделка, таб.'!D24,"Не верный ввод МДФ"))</f>
        <v/>
      </c>
      <c r="AA11" s="286"/>
      <c r="AB11" s="208"/>
      <c r="AE11" s="851" t="s">
        <v>877</v>
      </c>
      <c r="AF11" s="851"/>
      <c r="AG11" s="851"/>
      <c r="AH11" s="851"/>
      <c r="AK11" s="56"/>
    </row>
    <row r="12" spans="1:38" ht="31.5" customHeight="1">
      <c r="A12" s="852" t="str">
        <f>IF(OR(E12="окраска",G11="Фанера"),"",IF(AND(F12="Винорит",OR(G12="Винорит",G12="")),"",IF(OR(M11="ХФ_1",M11="ХФ_2",M11="ХФ_3"),"Выберите Винорит","")))</f>
        <v/>
      </c>
      <c r="B12" s="852"/>
      <c r="C12" s="852"/>
      <c r="D12" s="322" t="str">
        <f>IF(G11="Фанера","Окраска_",IF(IF(OR(F11="МДФ",F11="МДФ_без_молд",S11="портал:"),"_плёнка",HLOOKUP(M2,Таблица1[#All],27,0))=0,"",IF(OR(F11="МДФ",F11="МДФ_без_молд",S11="портал:"),"_плёнка",HLOOKUP(M2,Таблица1[#All],27,0))))</f>
        <v/>
      </c>
      <c r="E12" s="323"/>
      <c r="F12" s="259">
        <f>IF(AND(G11="Фанера",G12=""),"Матовая",IF(AND(E12="_плёнка",OR(M11="ХФ_1",M11="ХФ_2",M11="ХФ_3")),"Винорит",IF(E12="окраска",G12,IF(AND(F11="Фанера",G12=""),"Матовая",IF(G12="",HLOOKUP($M2,Таблица1[#All],28,0),G12)))))</f>
        <v>0</v>
      </c>
      <c r="G12" s="457"/>
      <c r="H12" s="137"/>
      <c r="I12" s="855"/>
      <c r="J12" s="854"/>
      <c r="K12" s="855"/>
      <c r="L12" s="854"/>
      <c r="M12" s="855"/>
      <c r="N12" s="856"/>
      <c r="O12" s="519" t="str">
        <f>IF(S1="",IF(E12="окраска",IF(P12="",HLOOKUP(M2,Таблица1[#All],29,0),P12),IF(O11="Фанера","Патина","")),"")</f>
        <v/>
      </c>
      <c r="P12" s="261"/>
      <c r="Q12" s="179"/>
      <c r="R12" s="105" t="str">
        <f>IF(O12="Патина","Цвет патины","")</f>
        <v/>
      </c>
      <c r="S12" s="320"/>
      <c r="T12" s="321"/>
      <c r="U12" s="327" t="str">
        <f>IF(V12="наличник","наличник",IF(AND(X2="внутренняя",OR(F11="МДФ",F11="МДФ_"),V12=""),"НАЛИЧНИК",IF(S11="портал:","без наличника","")))</f>
        <v/>
      </c>
      <c r="V12" s="384"/>
      <c r="W12" s="169"/>
      <c r="X12" s="538"/>
      <c r="Y12" s="200" t="e">
        <f>MATCH(F12,Профдекор[#Headers],0)</f>
        <v>#N/A</v>
      </c>
      <c r="Z12" s="721"/>
      <c r="AA12" s="319"/>
      <c r="AB12" s="208"/>
      <c r="AE12" s="851"/>
      <c r="AF12" s="851"/>
      <c r="AG12" s="851"/>
      <c r="AH12" s="851"/>
    </row>
    <row r="13" spans="1:38" ht="21">
      <c r="A13" s="93"/>
      <c r="B13" s="214" t="str">
        <f>IF(S1="","окно_выбор","")</f>
        <v>окно_выбор</v>
      </c>
      <c r="C13" s="251"/>
      <c r="D13" s="198"/>
      <c r="E13" s="199"/>
      <c r="F13" s="501" t="str">
        <f>IF(M2="Индивид.","",IF(G6="ПКТ","накладка из Н/С",IF(S1="",IF(G13="","без накладки на порог","накладка из Н/С"),"")))</f>
        <v>без накладки на порог</v>
      </c>
      <c r="G13" s="245"/>
      <c r="H13" s="199"/>
      <c r="I13" s="199"/>
      <c r="J13" s="172" t="str">
        <f>IF(Исходные!BM3="",IF(M2="Индивид.","",IF(S1="",IF(M9="Пр.штапик","штапик",IF(K13="","выбор вставки из н/с",K13)),"")),Исходные!BM3)</f>
        <v>выбор вставки из н/с</v>
      </c>
      <c r="K13" s="191"/>
      <c r="L13" s="169"/>
      <c r="M13" s="80"/>
      <c r="N13" s="163"/>
      <c r="O13" s="162" t="str">
        <f>IF(M2="Индивид.","",IF(S1="",IF(P13="","выбор накладки",""),""))</f>
        <v>выбор накладки</v>
      </c>
      <c r="P13" s="246"/>
      <c r="Q13" s="164"/>
      <c r="R13" s="169" t="str">
        <f>IF(P13="накладка","тип накладки","")</f>
        <v/>
      </c>
      <c r="S13" s="192"/>
      <c r="T13" s="163"/>
      <c r="U13" s="169" t="str">
        <f>IF(S13="","","Покраска")</f>
        <v/>
      </c>
      <c r="V13" s="190"/>
      <c r="W13" s="170" t="str">
        <f>IF(V13="","","цвет")</f>
        <v/>
      </c>
      <c r="X13" s="193"/>
      <c r="Y13" s="209" t="str">
        <f>IF(AND(C13="Окно Е с решёткой",V3&lt;920),"Ширина коробки для окна 'Е' с решёткой, должна быть не менее 920мм.","")</f>
        <v/>
      </c>
      <c r="Z13" s="210"/>
      <c r="AA13" s="210"/>
      <c r="AB13" s="210"/>
    </row>
    <row r="14" spans="1:38" ht="51" customHeight="1">
      <c r="A14" s="92"/>
      <c r="B14" s="171"/>
      <c r="C14" s="867"/>
      <c r="D14" s="867"/>
      <c r="E14" s="867"/>
      <c r="F14" s="867"/>
      <c r="G14" s="867"/>
      <c r="H14" s="867"/>
      <c r="I14" s="867"/>
      <c r="J14" s="867"/>
      <c r="K14" s="867"/>
      <c r="L14" s="867"/>
      <c r="M14" s="867"/>
      <c r="N14" s="867"/>
      <c r="O14" s="867"/>
      <c r="P14" s="867"/>
      <c r="Q14" s="867"/>
      <c r="R14" s="867"/>
      <c r="S14" s="867"/>
      <c r="T14" s="867"/>
      <c r="U14" s="867"/>
      <c r="V14" s="867"/>
      <c r="W14" s="867"/>
      <c r="X14" s="868"/>
      <c r="Y14" s="848" t="str">
        <f>IF(AND(M2="Индивид.",G9="МДФ"),"в рассчёт наружнего щита включена стоимость наличников",IF(AND(M2="Индивид.",G11="МДФ"),"для просчёта внутреннего щита МДФ выберите категорию фрезеровки, для просчёта только портала/наличников, выбирите МДФ, портал-наличник, плёнку",""))</f>
        <v/>
      </c>
      <c r="Z14" s="849"/>
      <c r="AA14" s="849"/>
      <c r="AB14" s="849"/>
      <c r="AC14" s="849"/>
      <c r="AD14" s="849"/>
      <c r="AE14" s="849"/>
      <c r="AI14" s="273"/>
    </row>
    <row r="15" spans="1:38" ht="18.75" customHeight="1">
      <c r="A15" s="94" t="s">
        <v>373</v>
      </c>
      <c r="B15" s="27"/>
      <c r="C15" s="292">
        <f ca="1">TODAY()</f>
        <v>45804</v>
      </c>
      <c r="D15" s="80"/>
      <c r="E15" s="412" t="str">
        <f>IF(F15="","",IF(S1="","по СТБ 2433:",""))</f>
        <v>по СТБ 2433:</v>
      </c>
      <c r="F15" s="409" t="str">
        <f>IF(G15="",IF(M2="Индивид.","",IF(S1="",CONCATENATE(AK1,AK2,AL2," ",AK3,AK4,"-",AK5,AK6,AK7,AK8,AK9),"")),G15)</f>
        <v>ДВ2 СГ 0-0ЛОЖЬ П</v>
      </c>
      <c r="G15" s="430"/>
      <c r="H15" s="293"/>
      <c r="I15" s="294"/>
      <c r="J15" s="295"/>
      <c r="K15" s="865" t="str">
        <f>IF(S1="",IF(OR(N1="ЛС",N1="ТД"),"со склада г. Минск +",""),"")</f>
        <v/>
      </c>
      <c r="L15" s="866"/>
      <c r="M15" s="866"/>
      <c r="N15" s="866"/>
      <c r="O15" s="655">
        <f>IF(P15="",0,P15)</f>
        <v>0</v>
      </c>
      <c r="P15" s="658" t="str">
        <f>IF(S1="",IF(OR(N1="ЛС",N1="ТД"),IF(R4="2-х створ.",24,12),""),"")</f>
        <v/>
      </c>
      <c r="Q15" s="656"/>
      <c r="R15" s="656"/>
      <c r="S15" s="657"/>
      <c r="T15" s="295"/>
      <c r="U15" s="162" t="str">
        <f>IF(S1="",IF(V15="","без упаковки",""),"")</f>
        <v>без упаковки</v>
      </c>
      <c r="V15" s="296"/>
      <c r="W15" s="297"/>
      <c r="X15" s="298"/>
      <c r="Y15" s="212"/>
      <c r="Z15" s="496"/>
      <c r="AA15" s="212"/>
      <c r="AB15" s="212"/>
    </row>
    <row r="16" spans="1:38">
      <c r="A16" s="57" t="s">
        <v>507</v>
      </c>
    </row>
    <row r="17" spans="1:37" ht="18.75" customHeight="1">
      <c r="A17" s="244" t="str">
        <f>CONCATENATE(M17,N17)</f>
        <v>2ЖЖ</v>
      </c>
      <c r="B17" s="869" t="str">
        <f>IF(V19=0,"Введи ширину",V19)</f>
        <v>Введи ширину</v>
      </c>
      <c r="C17" s="869"/>
      <c r="D17" s="222"/>
      <c r="E17" s="56"/>
      <c r="F17" s="56"/>
      <c r="G17" s="389" t="str">
        <f>IF(S17="",CONCATENATE($AE$1," ",$AF$1),IF(VLOOKUP(A17,[1]!Заказы[#Data],84,0)="","",VLOOKUP(A17,[1]!Заказы[#Data],84,0)))</f>
        <v>вер.2 17.05.25</v>
      </c>
      <c r="H17" s="56"/>
      <c r="I17" s="875" t="s">
        <v>83</v>
      </c>
      <c r="J17" s="875"/>
      <c r="K17" s="875"/>
      <c r="L17" s="875"/>
      <c r="M17" s="663">
        <f>M1+1</f>
        <v>2</v>
      </c>
      <c r="N17" s="253" t="str">
        <f>N1</f>
        <v>ЖЖ</v>
      </c>
      <c r="O17" s="143"/>
      <c r="P17" s="639"/>
      <c r="Q17" s="640" t="str">
        <f>IF(N17="СК",CONCATENATE(AK23,IF(AK23="","П",""),""),"")</f>
        <v/>
      </c>
      <c r="R17" s="65"/>
      <c r="S17" s="876" t="str">
        <f>IFERROR(VLOOKUP(A17,[1]!Заказы[#Data],3,0),"")</f>
        <v/>
      </c>
      <c r="T17" s="876"/>
      <c r="U17" s="241"/>
      <c r="V17" s="876"/>
      <c r="W17" s="876">
        <f>(HLOOKUP(M18,Цены[#All],2,0)+Цена!$X$3+SUM(Цена!X33:X35))*Y17</f>
        <v>187</v>
      </c>
      <c r="X17" s="173">
        <f>IF(N17="ТД ","",IF(AND(S17="",Z17=""),W17*AB18+AB19+D22/RUR,""))</f>
        <v>187</v>
      </c>
      <c r="Y17" s="180">
        <f>Y1</f>
        <v>1</v>
      </c>
      <c r="Z17" s="178" t="str">
        <f>IFERROR(IF(Z18="","","Ошибка!"),"")</f>
        <v/>
      </c>
      <c r="AA17" s="404" t="str">
        <f>IF(N17="ТД ",(W17*AB18+AB19)*0.92,"")</f>
        <v/>
      </c>
      <c r="AB17" s="231" t="str">
        <f>IF(OR(N17="МО",N17="ББ",N17="ЛВ"),"курс =",IF(OR(AD17="",AD17=0),"","курс ="))</f>
        <v>курс =</v>
      </c>
      <c r="AC17" s="232"/>
      <c r="AD17" s="785">
        <f>IF(AD1=0,"",AD1)</f>
        <v>3.3</v>
      </c>
      <c r="AE17" s="67"/>
      <c r="AK17" s="57" t="str">
        <f>IF(OR(AND(F25="МДФ",OR(E26="ПДТ",E26="АВ",E26="ЕТ")),OR(F27="МДФ",F27="МДФ_без_молд",E28="ПДТ",E28="АВ",E28="ЕТ")),"ДВ2 ",IF(OR(V26="Грунт+Силикон",V26="СФ+Силикон"),"ДН ","ДВ2 "))</f>
        <v xml:space="preserve">ДВ2 </v>
      </c>
    </row>
    <row r="18" spans="1:37" ht="24.75" customHeight="1">
      <c r="A18" s="850" t="str">
        <f>IF(X19=0,"Введи высоту",X19)</f>
        <v>Введи высоту</v>
      </c>
      <c r="B18" s="148"/>
      <c r="C18" s="64"/>
      <c r="D18" s="64"/>
      <c r="E18" s="56"/>
      <c r="F18" s="56"/>
      <c r="G18" s="315" t="str">
        <f>IF(S17="","",IF(G17="","","Счёт №_______"))</f>
        <v/>
      </c>
      <c r="I18" s="58"/>
      <c r="J18" s="58"/>
      <c r="K18" s="82" t="s">
        <v>84</v>
      </c>
      <c r="L18" s="66" t="str">
        <f>IF(OR(M18="М_0",M18="М_1",M18="М_2",M18="М_3"),"М",IF(M18="Индивид.","И","О"))</f>
        <v>М</v>
      </c>
      <c r="M18" s="873" t="s">
        <v>416</v>
      </c>
      <c r="N18" s="874"/>
      <c r="O18" s="235" t="str">
        <f>IF(P18="",HLOOKUP(M18,Таблица1[#All],3,0),P18)</f>
        <v>1,2 мм.</v>
      </c>
      <c r="P18" s="242"/>
      <c r="Q18" s="158"/>
      <c r="R18" s="241" t="str">
        <f>IF(S18="",IF(S17="",IF(G22="ПКТ","3-х конт.",IF(S18="",HLOOKUP(M18,Таблица1[#All],2,0),S18)),IF(G22="ПКТ","3-х конт.","")),S18)</f>
        <v>2-х конт.</v>
      </c>
      <c r="S18" s="243"/>
      <c r="T18" s="113"/>
      <c r="U18" s="241" t="str">
        <f>IF(S17="",IF(AND(V18="",Цена!$X$36=Цена!$D$36),Цена!$T$36,IF(V18="",HLOOKUP(M18,Таблица1[#All],6,0),V18)),IF(Цена!$X$36="","",Цена!$W$36))</f>
        <v>2 петли</v>
      </c>
      <c r="V18" s="240"/>
      <c r="W18" s="241" t="str">
        <f>IF(S17="",IF(X18="","наружняя",X18),"")</f>
        <v>наружняя</v>
      </c>
      <c r="X18" s="272"/>
      <c r="Y18" s="201"/>
      <c r="Z18" s="178" t="str">
        <f>IF(INDEX(Ошибки_цена[#All],Цена!P1,1)=0,"",INDEX(Ошибки_цена[#All],Цена!P1,1))</f>
        <v/>
      </c>
      <c r="AA18" s="178"/>
      <c r="AB18" s="284">
        <f>AB2</f>
        <v>1</v>
      </c>
      <c r="AC18" s="202"/>
      <c r="AD18" s="790"/>
      <c r="AK18" s="388" t="str">
        <f>IF(C29="","СГ","СЧ")</f>
        <v>СГ</v>
      </c>
    </row>
    <row r="19" spans="1:37" ht="24" customHeight="1">
      <c r="A19" s="850"/>
      <c r="B19" s="64"/>
      <c r="C19" s="328" t="str">
        <f ca="1">IF(S17="",IF((C31-$AF$1)&gt;45,"Обновите Бланк!",IF(G17=$AF$1,"",IF($AF$1=[1]Заказы!CP$1,"","СТАРЫЙ БЛАНК!"))),"")</f>
        <v/>
      </c>
      <c r="F19" s="314" t="str">
        <f>IF(S17="",IF(G19="",IF(OR(O20=0,O20=""),"","без съём-х доборов"),G19),"")</f>
        <v/>
      </c>
      <c r="G19" s="301"/>
      <c r="H19" s="872" t="s">
        <v>85</v>
      </c>
      <c r="I19" s="872"/>
      <c r="J19" s="872"/>
      <c r="K19" s="872"/>
      <c r="L19" s="872"/>
      <c r="M19" s="872"/>
      <c r="N19" s="156"/>
      <c r="O19" s="88"/>
      <c r="P19" s="863" t="s">
        <v>1338</v>
      </c>
      <c r="Q19" s="864"/>
      <c r="R19" s="87"/>
      <c r="S19" s="870" t="s">
        <v>86</v>
      </c>
      <c r="T19" s="871"/>
      <c r="U19" s="466" t="str">
        <f>IF(AND(N17="ЖЖ",V19=""),"800",IF(V19="","799",V19))</f>
        <v>800</v>
      </c>
      <c r="V19" s="465"/>
      <c r="W19" s="466" t="str">
        <f>IF(AND(N17="ЖЖ",X19=""),"2000",IF(X19="","1999",X19))</f>
        <v>2000</v>
      </c>
      <c r="X19" s="462"/>
      <c r="Y19" s="203"/>
      <c r="Z19" s="776">
        <f>IF(S17="",IF(AD17="","",ROUND(G23/120*100,2)),"")</f>
        <v>514.25</v>
      </c>
      <c r="AA19" s="291" t="str">
        <f>IF(S17="",IF(AD17="",""," - без НДС"),"")</f>
        <v xml:space="preserve"> - без НДС</v>
      </c>
      <c r="AB19" s="316"/>
      <c r="AC19" s="324" t="str">
        <f>IF(OR(F25="МДФ",F27="МДФ"),"Базу по фрезеровкам сверяйте на:","")</f>
        <v/>
      </c>
      <c r="AD19" s="146"/>
      <c r="AK19" s="57" t="str">
        <f>IF(X18="внутренняя","Вн ","")</f>
        <v/>
      </c>
    </row>
    <row r="20" spans="1:37" ht="21">
      <c r="A20" s="850"/>
      <c r="B20" s="64" t="str">
        <f>IF(OR(X19="",X19=2050),"",1)</f>
        <v/>
      </c>
      <c r="C20" s="200" t="str">
        <f>IF(S17="",IF(AND(материалы!V26="",OR(материалы!W6="",материалы!W6="S доп.=")),"","ВЫБЕРИ нужную картинку"),"")</f>
        <v/>
      </c>
      <c r="E20" s="56"/>
      <c r="F20" s="56"/>
      <c r="G20" s="81" t="s">
        <v>330</v>
      </c>
      <c r="H20" s="235" t="str">
        <f>IF(I20="","резиновый",I20)</f>
        <v>резиновый</v>
      </c>
      <c r="I20" s="671"/>
      <c r="J20" s="68"/>
      <c r="K20" s="68"/>
      <c r="L20" s="136" t="str">
        <f>IF(G22="ПКТ",Paroc,IF(M20="",материалы!$B$81,M20))</f>
        <v>Isover</v>
      </c>
      <c r="M20" s="237"/>
      <c r="N20" s="114"/>
      <c r="O20" s="541" t="str">
        <f>IF(AND(материалы!V26="",дверь!B24=""),"",IF(дверь!B24="","выбери добор",дверь!B24))</f>
        <v/>
      </c>
      <c r="P20" s="540"/>
      <c r="Q20" s="539"/>
      <c r="R20" s="860" t="str">
        <f>IF(дверь!B25="",IF(дверь!B25="",IF(V19&gt;1080,IF(дверь!B25="",дверь!B26),""),дверь!B25),дверь!B25)</f>
        <v/>
      </c>
      <c r="S20" s="861"/>
      <c r="T20" s="862"/>
      <c r="U20" s="455"/>
      <c r="V20" s="542" t="str">
        <f>IF(S17="",материалы!W6,"")</f>
        <v/>
      </c>
      <c r="W20" s="461" t="str">
        <f>IF(X20="","","S доп.=")</f>
        <v/>
      </c>
      <c r="X20" s="288" t="str">
        <f>IF(S17="",IF(материалы!V26="",IF(IF(V19*X19/10000&gt;210,V19*X19/10000-210,0)=0,"",IF(V19*X19/10000&gt;210,V19*X19/10000-210,0)),материалы!V26),"")</f>
        <v/>
      </c>
      <c r="Y20" s="174"/>
      <c r="AC20" s="326" t="str">
        <f>IF(OR(F25="МДФ",F27="МДФ"),"https://xn--80akudsge.xn--90ais/konstruktor","")</f>
        <v/>
      </c>
      <c r="AK20" s="57">
        <f>ROUND(X19/100,0)</f>
        <v>0</v>
      </c>
    </row>
    <row r="21" spans="1:37" ht="22.5" customHeight="1">
      <c r="A21" s="850"/>
      <c r="B21" s="64" t="str">
        <f>IF(OR(V19="",V19=860,V19=960),"",1)</f>
        <v/>
      </c>
      <c r="C21" s="677" t="str">
        <f>IF(S17="",IF(AND(B21="",B20=""),"",IF(OR(B20=1,B21=1),"НЕ СТАНДАРТ+20р.","")),"")</f>
        <v/>
      </c>
      <c r="D21" s="675"/>
      <c r="E21" s="74"/>
      <c r="F21" s="332">
        <f>IF(X18="внутренняя","",IF(AND(G25="Фанера",G21=""),"Наличник_Фанера",IF(AND(OR(F25="МДФ_",F25="МДФ"),G21=""),"Наличник_МДФ",G21)))</f>
        <v>0</v>
      </c>
      <c r="G21" s="331"/>
      <c r="H21" s="329">
        <f>IF(AND(L21=0,O21=0,R21=0),"",IF(X18="внутренняя","",IF(AND(OR(F25="МДФ",F25="МДФ_",G25="Фанера"),G21="",I21=""),"Стандарт",IF(AND(I21="",G21="Капитель_"),"Капелла",I21))))</f>
        <v>0</v>
      </c>
      <c r="I21" s="330"/>
      <c r="J21" s="131"/>
      <c r="L21" s="763" t="str">
        <f>IF(AND(M18="Индивид.",G25=""),"",IF(M21="","50",M21))</f>
        <v>50</v>
      </c>
      <c r="M21" s="769"/>
      <c r="N21" s="188"/>
      <c r="O21" s="775" t="str">
        <f>IF(AND(M18="Индивид.",G25=""),"",IF(P21="","50",P21))</f>
        <v>50</v>
      </c>
      <c r="P21" s="769"/>
      <c r="Q21" s="764"/>
      <c r="R21" s="773" t="str">
        <f>IF(AND(M18="Индивид.",G25=""),"",IF(S21="","50",S21))</f>
        <v>50</v>
      </c>
      <c r="S21" s="769"/>
      <c r="T21" s="774"/>
      <c r="U21" s="69"/>
      <c r="V21" s="85" t="s">
        <v>87</v>
      </c>
      <c r="W21" s="276" t="str">
        <f>IF(X21="","д.10",X21)</f>
        <v>д.10</v>
      </c>
      <c r="X21" s="460"/>
      <c r="Y21" s="204"/>
      <c r="Z21" s="204"/>
      <c r="AA21" s="204"/>
      <c r="AB21" s="204"/>
      <c r="AD21" s="205" t="s">
        <v>410</v>
      </c>
      <c r="AK21" s="57">
        <f>ROUND(V19/100,0)</f>
        <v>0</v>
      </c>
    </row>
    <row r="22" spans="1:37" ht="24" customHeight="1">
      <c r="A22" s="850"/>
      <c r="C22" s="64"/>
      <c r="D22" s="64">
        <f>IF(C21="НЕ СТАНДАРТ+20р.",20,0)</f>
        <v>0</v>
      </c>
      <c r="F22" s="399" t="str">
        <f>IF(M18="Индивид.","",IF(S17="",IF(OR(M18="О_0",M18="О_1",M18="М_0",M18="М_1"),"Без Микро-Термо разрыва",IF(G22="","Без ПКТ",G22)),""))</f>
        <v>Без Микро-Термо разрыва</v>
      </c>
      <c r="G22" s="641"/>
      <c r="H22" s="131"/>
      <c r="I22" s="166"/>
      <c r="J22" s="166"/>
      <c r="K22" s="166"/>
      <c r="L22" s="168" t="s">
        <v>88</v>
      </c>
      <c r="N22" s="52" t="str">
        <f>IF(OR(S18="3-х конт.",G22="Терморазрыв"),IF(AND(OR(S18="3-х конт.",G22="Терморазрыв"),F25="металл"),"Верх","Верх."),"Верх_")</f>
        <v>Верх_</v>
      </c>
      <c r="O22" s="498" t="str">
        <f>IF(P22="",IF(Фурнитура!D5=0,"",HLOOKUP(Фурнитура!D5,Таблица6[#All],3,0)),P22)</f>
        <v>Vela Т-47</v>
      </c>
      <c r="P22" s="506"/>
      <c r="Q22" s="415"/>
      <c r="R22" s="566" t="str">
        <f>IF(AND(S22="",G22="ПКТ"),"Авт.Crit",IF(AND(S22="",S17=""),IF(OR(O22="",O22="нет"),"",IF(S22="","без шторки",S22)),S22))</f>
        <v>без шторки</v>
      </c>
      <c r="S22" s="260"/>
      <c r="T22" s="157"/>
      <c r="U22" s="74" t="str">
        <f>IF(O22=0,"",IF(AND(OR(M18="О_2",M18="М_3"),OR(I25="_12мм",I25="_16мм",I25="_12_влаго",I25="_16_влаго")),"Шторка_О_2_М_3","Шторка"))</f>
        <v>Шторка</v>
      </c>
      <c r="V22" s="84" t="str">
        <f>IF(C29="","Глазок","Окно_шт")</f>
        <v>Глазок</v>
      </c>
      <c r="W22" s="634" t="str">
        <f>IF(M18="Индивид.","",IF(AND(V22="Окно_шт",X22=""),"1",IF(G27="металл_","нет",IF(C29="",IF(X22="","Круг хром",X22),X22))))</f>
        <v>Круг хром</v>
      </c>
      <c r="X22" s="236"/>
      <c r="Y22" s="846" t="str">
        <f>IF(AND(V22="Окно_шт",OR(X22="Да",X22="Нет",X22="")),IF(OR(S20="2-х створ.",O20="Добор 1 шт.",O20="Добор 2 шт.",O20="Добор 3 шт."),"- выбери кол-во окон",""),"")</f>
        <v/>
      </c>
      <c r="Z22" s="847"/>
      <c r="AA22" s="401"/>
      <c r="AB22" s="206"/>
      <c r="AK22" s="57" t="str">
        <f>IF(R20="2-х створ."," 2","")</f>
        <v/>
      </c>
    </row>
    <row r="23" spans="1:37" ht="23.25" customHeight="1">
      <c r="B23" s="406" t="str">
        <f>P19</f>
        <v>выбор</v>
      </c>
      <c r="D23" s="59"/>
      <c r="F23" s="56"/>
      <c r="G23" s="619">
        <f>IF(AD18="",IF(AD17="","",IF(X17="","",IF(AB17="курс =",ROUND(X17*AD17+O31,2),""))),AD18)</f>
        <v>617.1</v>
      </c>
      <c r="J23" s="183" t="str">
        <f>IF(O23="","","регулятор")</f>
        <v>регулятор</v>
      </c>
      <c r="K23" s="182"/>
      <c r="L23" s="56"/>
      <c r="N23" s="52" t="str">
        <f>IF(OR(S18="3-х конт.",G22="Терморазрыв"),"Низ","Низ_")</f>
        <v>Низ_</v>
      </c>
      <c r="O23" s="507" t="str">
        <f>IF(F24="Пожарка",Цена!C205,IF(P23="",HLOOKUP(Фурнитура!D50,Таблица9[#All],3,0),P23))</f>
        <v>Vela Т-42</v>
      </c>
      <c r="P23" s="417"/>
      <c r="Q23" s="413"/>
      <c r="R23" s="645" t="str">
        <f>IF(OR(P23="Kale 155 рол.",P23="Kale155-В рол.",B24="Р001",B24="Порошок",O23="",B24="AVERS_HP_72.1303"),"",IF(S23="","без_накладки",S23))</f>
        <v/>
      </c>
      <c r="S23" s="418"/>
      <c r="T23" s="414" t="str">
        <f>IF(P23="Kale155-В рол.","",IF(U23="чёрный","Цил","Цил."))</f>
        <v>Цил.</v>
      </c>
      <c r="U23" s="668" t="str">
        <f>IF(M18="Индивид.","",IF(P23="Kale155-В рол.","",IF(F24="Чёрная","чёрный",IF(AND(G22="ПКТ",V23=""),Цена!$C$238,IF(V23="","Стандарт",V23)))))</f>
        <v>Стандарт</v>
      </c>
      <c r="V23" s="786"/>
      <c r="W23" s="252" t="str">
        <f>IF(P23="Kale155-В рол.","",IF(V23="","Сл/Пв",VLOOKUP(Бланк!V23,Таблица24[#All],2,0)))</f>
        <v>Сл/Пв</v>
      </c>
      <c r="X23" s="254"/>
      <c r="Y23" s="175"/>
      <c r="Z23" s="600" t="str">
        <f>IF(C24="Crit_развёр.","",IF(P23="Крит А-8","выбери ручку Crit_развёр.",""))</f>
        <v/>
      </c>
      <c r="AA23" s="175"/>
      <c r="AB23" s="175"/>
      <c r="AK23" s="388" t="b">
        <f>IF(AND(S20="2-х створ.",P19="левая")," 2Л",IF(AND(S20="",P19="левая")," Л",IF(AND(S20="",P19="правая"),"Пр")))</f>
        <v>0</v>
      </c>
    </row>
    <row r="24" spans="1:37" ht="18.75">
      <c r="A24" s="161" t="s">
        <v>493</v>
      </c>
      <c r="B24" s="278" t="str">
        <f>IF(P23="Биометрический","био",IF(AND(OR(S18="3-х конт.",G22="ПКТ"),C24=""),"розетка",IF(C24="",HLOOKUP(M18,Таблица1[#All],10,0),C24)))</f>
        <v>Р001</v>
      </c>
      <c r="C24" s="841"/>
      <c r="D24" s="503"/>
      <c r="E24" s="82" t="s">
        <v>89</v>
      </c>
      <c r="F24" s="826" t="str">
        <f>IF(G24="",VLOOKUP(B24,Цвет,2,0),G24)</f>
        <v>хром</v>
      </c>
      <c r="G24" s="839"/>
      <c r="H24" s="213" t="str">
        <f>IF(S17="",IF(I24="","без доводчика",I24),"")</f>
        <v>без доводчика</v>
      </c>
      <c r="I24" s="256"/>
      <c r="J24" s="59"/>
      <c r="K24" s="59"/>
      <c r="L24" s="59"/>
      <c r="M24" s="361" t="s">
        <v>348</v>
      </c>
      <c r="N24" s="71"/>
      <c r="O24" s="276" t="str">
        <f>IF(P24="",HLOOKUP(M18,Таблица1[#All],9,0),P24)</f>
        <v>нет</v>
      </c>
      <c r="P24" s="189"/>
      <c r="Q24" s="159"/>
      <c r="R24" s="103" t="str">
        <f>IF(S17="",IF(S24="","без геркона",S24),"")</f>
        <v>без геркона</v>
      </c>
      <c r="S24" s="257"/>
      <c r="T24" s="167"/>
      <c r="U24" s="56"/>
      <c r="V24" s="160" t="str">
        <f>IF(O23="","",IF(R23="без_накладки","Броня",""))</f>
        <v/>
      </c>
      <c r="W24" s="277" t="str">
        <f>IF(OR(S23="DP-11",P23="биометрический"),"нет",IF(AND(R18="3-х конт.",X24=""),"Apecs",IF(V24="","нет",IF(X24="",HLOOKUP(M18,Таблица1[#All],14,0),X24))))</f>
        <v>нет</v>
      </c>
      <c r="X24" s="845"/>
      <c r="Y24" s="176"/>
      <c r="Z24" s="281" t="str">
        <f>IF(S23="",IF(AND(OR(S18="3-х конт.",G22="ПКТ",R23="без_накладки"),OR(W24="",X24="нет")),"- Выбери броню",""),"")</f>
        <v/>
      </c>
      <c r="AA24" s="281"/>
      <c r="AB24" s="176"/>
      <c r="AK24" s="57" t="s">
        <v>876</v>
      </c>
    </row>
    <row r="25" spans="1:37" ht="31.5" customHeight="1">
      <c r="A25" s="852" t="str">
        <f>IF(F25="Фанера","",IF(OR(I25="_8_влаго",I25="_10_влаго",I25="_12_влаго",I25="_16_влаго"),"",IF(OR(M25="ХФ_1",M25="ХФ_2",M25="ХФ_3",E26="окраска"),"Выберите наружний влагостойкий щит","")))</f>
        <v/>
      </c>
      <c r="B25" s="852"/>
      <c r="C25" s="852"/>
      <c r="D25" s="70"/>
      <c r="E25" s="275" t="s">
        <v>315</v>
      </c>
      <c r="F25" s="259" t="str">
        <f>IF(G25="",HLOOKUP(M18,Таблица1[#All],17,0),G25)</f>
        <v>металл</v>
      </c>
      <c r="G25" s="267"/>
      <c r="H25" s="279" t="str">
        <f>IF(G25="Фанера","_12мм.",IF(OR(F25="металл",F25="_металл"),O18,IF(I25="",HLOOKUP(F25,Таблица11[#All],2,0),I25)))</f>
        <v>1,2 мм.</v>
      </c>
      <c r="I25" s="268"/>
      <c r="J25" s="379" t="str">
        <f>IF(AND(OR(VLOOKUP(H25,Таблица13[#All],2,0)="фрез",VLOOKUP(H25,Таблица13[#All],2,0)="фрез.",VLOOKUP(H25,Таблица13[#All],2,0)="фрез.."),K25="ЛАЗЕР"),"ОШИБКА",IF(AND(VLOOKUP(H25,Таблица13[#All],2,0)="лаз.",K25="ЛАЗЕР"),K25,VLOOKUP(H25,Таблица13[#All],2,0)))</f>
        <v>лаз.</v>
      </c>
      <c r="K25" s="400"/>
      <c r="L25" s="498">
        <f>IF(I25="Заказчика","",IF(M25="",HLOOKUP(M18,Таблица1[#All],20,0),M25))</f>
        <v>0</v>
      </c>
      <c r="M25" s="622"/>
      <c r="N25" s="623"/>
      <c r="O25" s="139" t="str">
        <f>IF(F25="Фанера","Фанера",IF(E26="окраска","окраска",IF(OR(M25="ХФ_1",M25="ХФ_2",M25="ХФ_3"),"плёнка",IF(D26="_плёнка","плёнка",D26))))</f>
        <v/>
      </c>
      <c r="P25" s="880"/>
      <c r="Q25" s="881"/>
      <c r="R25" s="235" t="str">
        <f>IF(S17="",IF(S25="","Одноцвет",S25),"")</f>
        <v>Одноцвет</v>
      </c>
      <c r="S25" s="238"/>
      <c r="T25" s="83"/>
      <c r="U25" s="104" t="str">
        <f>IF(V25="",HLOOKUP(M18,Таблица1[#All],16,0),V25)</f>
        <v>шёлк</v>
      </c>
      <c r="V25" s="181"/>
      <c r="W25" s="195"/>
      <c r="X25" s="266"/>
      <c r="Y25" s="207"/>
      <c r="Z25" s="265" t="str">
        <f>IF(X25="","- Выбери Цвет","")</f>
        <v>- Выбери Цвет</v>
      </c>
      <c r="AA25" s="265"/>
      <c r="AB25" s="207"/>
      <c r="AK25" s="388" t="str">
        <f>IF(OR(Номер_открывания_2=2,Номер_открывания_2=4,Номер_открывания_2=6,Номер_открывания_2=12,Номер_открывания_2=14,Номер_открывания_2=16)," Фр","")</f>
        <v/>
      </c>
    </row>
    <row r="26" spans="1:37" ht="30" customHeight="1">
      <c r="A26" s="852" t="str">
        <f>IF(OR(E26="окраска",G25="Фанера"),"",IF(AND(F26="Винорит",OR(G26="Винорит",G26="")),"",IF(OR(M25="ХФ_1",M25="ХФ_2",M25="ХФ_3"),"Выберите Винорит","")))</f>
        <v/>
      </c>
      <c r="B26" s="852"/>
      <c r="C26" s="852"/>
      <c r="D26" s="322" t="str">
        <f>IF(OR(E26="окраска",F25="Фанера"),"Окраска_",IF(IF(G25="МДФ","_плёнка",HLOOKUP(M18,Таблица1[#All],21,0))=0,"",IF(G25="МДФ","_плёнка",HLOOKUP(M18,Таблица1[#All],21,0))))</f>
        <v/>
      </c>
      <c r="E26" s="323"/>
      <c r="F26" s="224">
        <f>IF(AND(F25="Фанера",G26=""),"Матовая",IF(AND(E26="_плёнка",OR(M25="ХФ_1",M25="ХФ_2",M25="ХФ_3")),"Винорит",IF(E26="окраска",G26,IF(AND(F25="Фанера",G26=""),"Матовая",IF(G26="",HLOOKUP($M18,Таблица1[#All],22,0),G26)))))</f>
        <v>0</v>
      </c>
      <c r="G26" s="457"/>
      <c r="H26" s="505"/>
      <c r="I26" s="853"/>
      <c r="J26" s="853"/>
      <c r="K26" s="853"/>
      <c r="L26" s="853"/>
      <c r="M26" s="853"/>
      <c r="N26" s="853"/>
      <c r="O26" s="518" t="str">
        <f>IF(S17="",IF(OR(F26="Винорит",E26="окраска"),IF(P26="",HLOOKUP(M18,Таблица1[#All],29,0),P26),IF(G25="Фанера","Патина","")),"")</f>
        <v/>
      </c>
      <c r="P26" s="261"/>
      <c r="Q26" s="179"/>
      <c r="R26" s="105" t="str">
        <f>IF(O26="Патина","Цвет патины","")</f>
        <v/>
      </c>
      <c r="S26" s="320"/>
      <c r="T26" s="321"/>
      <c r="U26" s="89"/>
      <c r="V26" s="884"/>
      <c r="W26" s="884"/>
      <c r="X26" s="885"/>
      <c r="Y26" s="200" t="e">
        <f>MATCH(F26,Профдекор[#Headers],0)</f>
        <v>#N/A</v>
      </c>
      <c r="Z26" s="721"/>
      <c r="AA26" s="319"/>
      <c r="AB26" s="206"/>
    </row>
    <row r="27" spans="1:37" ht="30" customHeight="1">
      <c r="A27" s="852" t="str">
        <f>IF(F27="Фанера","",IF(OR(I27="_8_влаго",I27="_10_влаго",I27="_12_влаго",I27="_16_влаго"),"",IF(OR(M27="ХФ_1",M27="ХФ_2",M27="ХФ_3",E28="окраска"),"Выберите внутрен. влагостойкий щит","")))</f>
        <v/>
      </c>
      <c r="B27" s="852"/>
      <c r="C27" s="852"/>
      <c r="D27" s="467"/>
      <c r="E27" s="275" t="s">
        <v>316</v>
      </c>
      <c r="F27" s="259" t="str">
        <f>IF(G22="ПКТ",Таблица11[[#Headers],[МДФ_без_молд]],IF('Отделка, таб.'!G21="3-х конт.","_МДФ",IF(G27="",HLOOKUP(M18,Таблица1[#All],23,0),G27)))</f>
        <v>МДФ_10 лам.</v>
      </c>
      <c r="G27" s="280"/>
      <c r="H27" s="494" t="str">
        <f>IF(G27="без отделки","",IF(G27="Фанера","_12мм.",IF(I27="",HLOOKUP(F27,Таблица11[#All],2,0),I27)))</f>
        <v>Белый</v>
      </c>
      <c r="I27" s="378"/>
      <c r="J27" s="90">
        <f>IF(K27="",IF(OR(F27="МДФ",F27="МДФ_",F27="Фанера",G27="МДФ_без_молд"),"фрез",K27),"")</f>
        <v>0</v>
      </c>
      <c r="K27" s="456"/>
      <c r="L27" s="498">
        <f>IF(I27="Заказчика","",IF(M27="",HLOOKUP(M18,Таблица1[#All],25,0),M27))</f>
        <v>0</v>
      </c>
      <c r="M27" s="622"/>
      <c r="N27" s="623"/>
      <c r="O27" s="499" t="str">
        <f>IF(G27="Фанера","Фанера",IF(E28="окраска","окраска",IF(OR(M27="ХФ_1",M27="ХФ_2",M27="ХФ_3"),"плёнка",IF(D28="_плёнка","плёнка",D28))))</f>
        <v/>
      </c>
      <c r="P27" s="880"/>
      <c r="Q27" s="881"/>
      <c r="R27" s="106">
        <f>IF(S17="",IF(OR(F27="МДФ",F27="МДФ_",F27="Фанера"),"без портала",S27),"")</f>
        <v>0</v>
      </c>
      <c r="S27" s="262"/>
      <c r="T27" s="163"/>
      <c r="U27" s="91" t="str">
        <f>IF(V27="",IF(S27="","","2,5 шт."),V27)</f>
        <v/>
      </c>
      <c r="V27" s="263"/>
      <c r="W27" s="197"/>
      <c r="X27" s="264"/>
      <c r="Y27" s="287" t="str">
        <f>IF(OR(F27="МДФ",F27="МДФ_"),IF(M27="без фрез.","","щит"),"")</f>
        <v/>
      </c>
      <c r="Z27" s="286" t="str">
        <f>IF(_xlfn.IFNA('Отделка, таб.'!F24,"Не верный ввод МДФ")=0,IF(Y27="Щит0","Выбери щит и фрезеровку",IF(AND(Y27="щит",P27=""),"Выбери фрезеровку","")),_xlfn.IFNA('Отделка, таб.'!F24,"Не верный ввод МДФ"))</f>
        <v/>
      </c>
      <c r="AA27" s="286"/>
      <c r="AB27" s="208"/>
    </row>
    <row r="28" spans="1:37" ht="27.75" customHeight="1">
      <c r="A28" s="852" t="str">
        <f>IF(OR(E28="окраска",G27="Фанера"),"",IF(AND(F28="Винорит",OR(G28="Винорит",G28="")),"",IF(OR(M27="ХФ_1",M27="ХФ_2",M27="ХФ_3"),"Выберите Винорит","")))</f>
        <v/>
      </c>
      <c r="B28" s="852"/>
      <c r="C28" s="852"/>
      <c r="D28" s="322" t="str">
        <f>IF(G27="Фанера","Окраска_",IF(IF(OR(F27="МДФ",S27="портал:"),"_плёнка",HLOOKUP(M18,Таблица1[#All],27,0))=0,"",IF(OR(F27="МДФ",S27="портал:"),"_плёнка",HLOOKUP(M18,Таблица1[#All],27,0))))</f>
        <v/>
      </c>
      <c r="E28" s="323"/>
      <c r="F28" s="259">
        <f>IF(AND(G27="Фанера",G28=""),"Матовая",IF(AND(E28="_плёнка",OR(M27="ХФ_1",M27="ХФ_2",M27="ХФ_3")),"Винорит",IF(E28="окраска",G28,IF(AND(F27="Фанера",G28=""),"Матовая",IF(G28="",HLOOKUP($M18,Таблица1[#All],28,0),G28)))))</f>
        <v>0</v>
      </c>
      <c r="G28" s="457"/>
      <c r="H28" s="504"/>
      <c r="I28" s="855"/>
      <c r="J28" s="854"/>
      <c r="K28" s="855"/>
      <c r="L28" s="854"/>
      <c r="M28" s="855"/>
      <c r="N28" s="856"/>
      <c r="O28" s="519" t="str">
        <f>IF(S17="",IF(OR(F28="Винорит",E28="окраска"),IF(P28="",HLOOKUP(M18,Таблица1[#All],29,0),P28),IF(O27="Фанера","Патина","")),"")</f>
        <v/>
      </c>
      <c r="P28" s="261"/>
      <c r="Q28" s="179"/>
      <c r="R28" s="105" t="str">
        <f>IF(O28="Патина","Цвет патины","")</f>
        <v/>
      </c>
      <c r="S28" s="320"/>
      <c r="T28" s="321"/>
      <c r="U28" s="327" t="str">
        <f>IF(V28="наличник","наличник",IF(AND(X18="внутренняя",OR(F27="МДФ",F27="МДФ_"),V28=""),"НАЛИЧНИК",IF(S27="портал:","без наличника","")))</f>
        <v/>
      </c>
      <c r="V28" s="384"/>
      <c r="W28" s="169"/>
      <c r="X28" s="289"/>
      <c r="Y28" s="200" t="e">
        <f>MATCH(F28,Профдекор[#Headers],0)</f>
        <v>#N/A</v>
      </c>
      <c r="Z28" s="721"/>
      <c r="AA28" s="319"/>
      <c r="AB28" s="208"/>
    </row>
    <row r="29" spans="1:37" ht="21">
      <c r="A29" s="93"/>
      <c r="B29" s="214" t="str">
        <f>IF(S17="","окно_выбор","")</f>
        <v>окно_выбор</v>
      </c>
      <c r="C29" s="251"/>
      <c r="D29" s="198"/>
      <c r="E29" s="199"/>
      <c r="F29" s="501" t="str">
        <f>IF(M18="Индивид.","",IF(G22="ПКТ","накладка из Н/С",IF(S17="",IF(G29="","без накладки на порог","накладка из Н/С"),"")))</f>
        <v>без накладки на порог</v>
      </c>
      <c r="G29" s="245"/>
      <c r="H29" s="502"/>
      <c r="I29" s="199"/>
      <c r="J29" s="172" t="str">
        <f>IF(Исходные!BM4="",IF(M18="Индивид.","",IF(S17="",IF(M25="Пр.штапик","штапик",IF(K29="","выбор вставки из н/с",K29)),"")),Исходные!BM4)</f>
        <v>выбор вставки из н/с</v>
      </c>
      <c r="K29" s="191"/>
      <c r="L29" s="169"/>
      <c r="M29" s="80"/>
      <c r="N29" s="163"/>
      <c r="O29" s="162" t="str">
        <f>IF(S17="",IF(P29="","выбор накладки",""),"")</f>
        <v>выбор накладки</v>
      </c>
      <c r="P29" s="246"/>
      <c r="Q29" s="164"/>
      <c r="R29" s="169" t="str">
        <f>IF(P29="накладка","тип накладки","")</f>
        <v/>
      </c>
      <c r="S29" s="192"/>
      <c r="T29" s="163"/>
      <c r="U29" s="169" t="str">
        <f>IF(S29="","","Покраска")</f>
        <v/>
      </c>
      <c r="V29" s="190"/>
      <c r="W29" s="170" t="str">
        <f>IF(V29="","","цвет")</f>
        <v/>
      </c>
      <c r="X29" s="193"/>
      <c r="Y29" s="209" t="str">
        <f>IF(AND(C29="Окно Е с решёткой",V19&lt;920),"Ширина коробки для окна 'Е' с решёткой, должна быть не менее 920мм.","")</f>
        <v/>
      </c>
      <c r="Z29" s="210"/>
      <c r="AA29" s="210"/>
      <c r="AB29" s="210"/>
    </row>
    <row r="30" spans="1:37" ht="49.5" customHeight="1">
      <c r="A30" s="92"/>
      <c r="B30" s="171"/>
      <c r="C30" s="867"/>
      <c r="D30" s="867"/>
      <c r="E30" s="867"/>
      <c r="F30" s="867"/>
      <c r="G30" s="867"/>
      <c r="H30" s="867"/>
      <c r="I30" s="867"/>
      <c r="J30" s="867"/>
      <c r="K30" s="867"/>
      <c r="L30" s="867"/>
      <c r="M30" s="867"/>
      <c r="N30" s="867"/>
      <c r="O30" s="867"/>
      <c r="P30" s="867"/>
      <c r="Q30" s="867"/>
      <c r="R30" s="867"/>
      <c r="S30" s="867"/>
      <c r="T30" s="867"/>
      <c r="U30" s="867"/>
      <c r="V30" s="867"/>
      <c r="W30" s="867"/>
      <c r="X30" s="868"/>
      <c r="Y30" s="211"/>
      <c r="Z30" s="211"/>
      <c r="AA30" s="211"/>
      <c r="AB30" s="211"/>
    </row>
    <row r="31" spans="1:37" ht="18.75" customHeight="1">
      <c r="A31" s="94" t="s">
        <v>373</v>
      </c>
      <c r="B31" s="27"/>
      <c r="C31" s="73">
        <f ca="1">TODAY()</f>
        <v>45804</v>
      </c>
      <c r="D31" s="290"/>
      <c r="E31" s="412" t="str">
        <f>IF(F31="","",IF(S17="","по СТБ 2433:",""))</f>
        <v>по СТБ 2433:</v>
      </c>
      <c r="F31" s="409" t="str">
        <f>IF(G31="",IF(M18="Индивид.","",IF(S17="",CONCATENATE(AK17,AK18,AL18," ",AK19,AK20,"-",AK21,AK22,AK23,AK24,AK25),"")),G31)</f>
        <v>ДВ2 СГ 0-0ЛОЖЬ П</v>
      </c>
      <c r="G31" s="430"/>
      <c r="H31" s="72"/>
      <c r="I31" s="194"/>
      <c r="J31" s="27"/>
      <c r="K31" s="865" t="str">
        <f>IF(S17="",IF(OR(N17="ЛС",N17="ТД"),"со склада г. Минск +",""),"")</f>
        <v/>
      </c>
      <c r="L31" s="866"/>
      <c r="M31" s="866"/>
      <c r="N31" s="866"/>
      <c r="O31" s="655">
        <f>IF(P31="",0,P31)</f>
        <v>0</v>
      </c>
      <c r="P31" s="658" t="str">
        <f>IF(S17="",IF(OR(N17="ЛС",N17="ТД"),IF(R20="2-х створ.",24,12),""),"")</f>
        <v/>
      </c>
      <c r="Q31" s="656"/>
      <c r="R31" s="656"/>
      <c r="S31" s="657"/>
      <c r="T31" s="27"/>
      <c r="U31" s="107" t="str">
        <f>IF(S17="",IF(V31="","без упаковки",""),"")</f>
        <v>без упаковки</v>
      </c>
      <c r="V31" s="296"/>
      <c r="W31" s="196"/>
      <c r="X31" s="86"/>
      <c r="Y31" s="212"/>
      <c r="Z31" s="212"/>
      <c r="AA31" s="212"/>
      <c r="AB31" s="212"/>
    </row>
    <row r="33" spans="1:37" ht="18.75" customHeight="1">
      <c r="A33" s="244" t="str">
        <f>CONCATENATE(M33,N33)</f>
        <v>3ЖЖ</v>
      </c>
      <c r="B33" s="869" t="str">
        <f>IF(V35=0,"Введи ширину",V35)</f>
        <v>Введи ширину</v>
      </c>
      <c r="C33" s="869"/>
      <c r="D33" s="222"/>
      <c r="E33" s="270"/>
      <c r="F33" s="270"/>
      <c r="G33" s="389" t="str">
        <f>IF(S33="",CONCATENATE($AE$1," ",$AF$1),IF(VLOOKUP(A33,[1]!Заказы[#Data],84,0)="","",VLOOKUP(A33,[1]!Заказы[#Data],84,0)))</f>
        <v>вер.2 17.05.25</v>
      </c>
      <c r="H33" s="56"/>
      <c r="I33" s="875" t="s">
        <v>83</v>
      </c>
      <c r="J33" s="875"/>
      <c r="K33" s="875"/>
      <c r="L33" s="875"/>
      <c r="M33" s="663">
        <f>M17+1</f>
        <v>3</v>
      </c>
      <c r="N33" s="253" t="str">
        <f>N17</f>
        <v>ЖЖ</v>
      </c>
      <c r="O33" s="143"/>
      <c r="P33" s="639"/>
      <c r="Q33" s="640" t="str">
        <f>IF(N33="СК",CONCATENATE(AK39,IF(AK39="","П",""),""),"")</f>
        <v/>
      </c>
      <c r="R33" s="65"/>
      <c r="S33" s="876" t="str">
        <f>IFERROR(VLOOKUP(A33,[1]!Заказы[#Data],3,0),"")</f>
        <v/>
      </c>
      <c r="T33" s="876"/>
      <c r="U33" s="241"/>
      <c r="V33" s="876"/>
      <c r="W33" s="876">
        <f>(HLOOKUP(M34,Цены[#All],2,0)+Цена!AB3+SUM(Цена!AB33:AB35))*Y33</f>
        <v>254</v>
      </c>
      <c r="X33" s="173">
        <f>IF(N33="ТД ","",IF(AND(S33="",Z33=""),W33*AB34+AB35+D38/RUR,""))</f>
        <v>254</v>
      </c>
      <c r="Y33" s="180">
        <f>Y1</f>
        <v>1</v>
      </c>
      <c r="Z33" s="178" t="str">
        <f>IFERROR(IF(Z34="","","Ошибка!"),"")</f>
        <v/>
      </c>
      <c r="AA33" s="404" t="str">
        <f>IF(N33="ТД ",(W33*AB34+AB35)*0.92,"")</f>
        <v/>
      </c>
      <c r="AB33" s="231" t="str">
        <f>IF(OR(N33="МО",N33="ББ",N33="ЛВ"),"курс =",IF(OR(AD33="",AD33=0),"","курс ="))</f>
        <v>курс =</v>
      </c>
      <c r="AC33" s="232"/>
      <c r="AD33" s="785">
        <f>IF(AD17=0,"",AD17)</f>
        <v>3.3</v>
      </c>
      <c r="AE33" s="67"/>
      <c r="AK33" s="57" t="str">
        <f>IF(OR(AND(F41="МДФ",OR(E42="ПДТ",E42="АВ",E42="ЕТ")),OR(F43="МДФ",F43="МДФ_без_молд",E44="ПДТ",E44="АВ",E44="ЕТ")),"ДВ2 ",IF(OR(V42="Грунт+Силикон",V42="СФ+Силикон"),"ДН ","ДВ2 "))</f>
        <v xml:space="preserve">ДВ2 </v>
      </c>
    </row>
    <row r="34" spans="1:37" ht="25.5" customHeight="1">
      <c r="A34" s="850" t="str">
        <f>IF(X35=0,"Введи высоту",X35)</f>
        <v>Введи высоту</v>
      </c>
      <c r="B34" s="148"/>
      <c r="C34" s="64"/>
      <c r="D34" s="64"/>
      <c r="E34" s="270"/>
      <c r="F34" s="270"/>
      <c r="G34" s="315" t="str">
        <f>IF(S33="","",IF(G33="","","Счёт №_______"))</f>
        <v/>
      </c>
      <c r="I34" s="58"/>
      <c r="J34" s="58"/>
      <c r="K34" s="82" t="s">
        <v>84</v>
      </c>
      <c r="L34" s="66" t="str">
        <f>IF(OR(M34="М_0",M34="М_1",M34="М_2",M34="М_3"),"М",IF(M34="Индивид.","И","О"))</f>
        <v>М</v>
      </c>
      <c r="M34" s="873" t="s">
        <v>418</v>
      </c>
      <c r="N34" s="874"/>
      <c r="O34" s="235" t="str">
        <f>IF(P34="",HLOOKUP(M34,Таблица1[#All],3,0),P34)</f>
        <v>1,2 мм.</v>
      </c>
      <c r="P34" s="242"/>
      <c r="Q34" s="158"/>
      <c r="R34" s="241" t="str">
        <f>IF(S34="",IF(S33="",IF(G38="ПКТ","3-х конт.",IF(S34="",HLOOKUP(M34,Таблица1[#All],2,0),S34)),IF(G38="ПКТ","3-х конт.","")),S34)</f>
        <v>2-х конт.</v>
      </c>
      <c r="S34" s="243"/>
      <c r="T34" s="113"/>
      <c r="U34" s="241" t="str">
        <f>IF(S33="",IF(AND(V34="",Цена!$AB$36=Цена!$D$36),Цена!$AA$36,IF(V34="",HLOOKUP(M34,Таблица1[#All],6,0),V34)),IF(Цена!AB36="","",Цена!$T$36))</f>
        <v>2 петли</v>
      </c>
      <c r="V34" s="240"/>
      <c r="W34" s="241" t="str">
        <f>IF(S33="",IF(X34="","наружняя",X34),"")</f>
        <v>наружняя</v>
      </c>
      <c r="X34" s="272"/>
      <c r="Y34" s="201"/>
      <c r="Z34" s="178" t="str">
        <f>IF(INDEX(Ошибки_цена[#All],Цена!Q1,1)=0,"",INDEX(Ошибки_цена[#All],Цена!Q1,1))</f>
        <v/>
      </c>
      <c r="AA34" s="178"/>
      <c r="AB34" s="284">
        <f>AB18</f>
        <v>1</v>
      </c>
      <c r="AC34" s="202"/>
      <c r="AD34" s="790"/>
      <c r="AK34" s="388" t="str">
        <f>IF(C45="","СГ","СЧ")</f>
        <v>СГ</v>
      </c>
    </row>
    <row r="35" spans="1:37" ht="24.75" customHeight="1">
      <c r="A35" s="850"/>
      <c r="B35" s="64"/>
      <c r="C35" s="328" t="str">
        <f ca="1">IF(S33="",IF((C47-$AF$1)&gt;45,"Обновите Бланк!",IF(G33=$AF$1,"",IF($AF$1=[1]Заказы!CP$1,"","СТАРЫЙ БЛАНК!"))),"")</f>
        <v/>
      </c>
      <c r="F35" s="314" t="str">
        <f>IF(S33="",IF(G35="",IF(OR(O36=0,O36=""),"","без съём-х доборов"),G35),"")</f>
        <v/>
      </c>
      <c r="G35" s="301"/>
      <c r="H35" s="872" t="s">
        <v>85</v>
      </c>
      <c r="I35" s="872"/>
      <c r="J35" s="872"/>
      <c r="K35" s="872"/>
      <c r="L35" s="872"/>
      <c r="M35" s="872"/>
      <c r="N35" s="156"/>
      <c r="O35" s="88"/>
      <c r="P35" s="877" t="s">
        <v>1338</v>
      </c>
      <c r="Q35" s="878"/>
      <c r="R35" s="87"/>
      <c r="S35" s="870" t="s">
        <v>86</v>
      </c>
      <c r="T35" s="871"/>
      <c r="U35" s="466" t="str">
        <f>IF(AND(N33="ЖЖ",V35=""),"800",IF(V35="","799",V35))</f>
        <v>800</v>
      </c>
      <c r="V35" s="465"/>
      <c r="W35" s="466" t="str">
        <f>IF(AND(N33="ЖЖ",X35=""),"2000",IF(X35="","1999",X35))</f>
        <v>2000</v>
      </c>
      <c r="X35" s="462"/>
      <c r="Y35" s="203"/>
      <c r="Z35" s="776">
        <f>IF(S33="",IF(AD33="","",ROUND(G39/120*100,2)),"")</f>
        <v>698.5</v>
      </c>
      <c r="AA35" s="291" t="str">
        <f>IF(S33="",IF(AD33="",""," - без НДС"),"")</f>
        <v xml:space="preserve"> - без НДС</v>
      </c>
      <c r="AB35" s="316"/>
      <c r="AC35" s="325" t="str">
        <f>IF(OR(F41="МДФ",F43="МДФ"),"Базу по фрезеровкам сверяйте на:","")</f>
        <v>Базу по фрезеровкам сверяйте на:</v>
      </c>
      <c r="AK35" s="57" t="str">
        <f>IF(X34="внутренняя","Вн ","")</f>
        <v/>
      </c>
    </row>
    <row r="36" spans="1:37" ht="21">
      <c r="A36" s="850"/>
      <c r="B36" s="64" t="str">
        <f>IF(OR(X35="",X35=2050),"",1)</f>
        <v/>
      </c>
      <c r="C36" s="200" t="str">
        <f>IF(S33="",IF(AND(материалы!Y26="",OR(материалы!Z6="",материалы!Z6="S доп.=")),"","ВЫБЕРИ нужную картинку"),"")</f>
        <v/>
      </c>
      <c r="E36" s="56"/>
      <c r="F36" s="56"/>
      <c r="G36" s="81" t="s">
        <v>330</v>
      </c>
      <c r="H36" s="235" t="str">
        <f>IF(I36="","резиновый",I36)</f>
        <v>резиновый</v>
      </c>
      <c r="I36" s="671"/>
      <c r="J36" s="68"/>
      <c r="K36" s="68"/>
      <c r="L36" s="136" t="str">
        <f>IF(G38="ПКТ",Paroc,IF(M36="",материалы!$B$81,M36))</f>
        <v>Isover</v>
      </c>
      <c r="M36" s="237"/>
      <c r="N36" s="114"/>
      <c r="O36" s="756" t="str">
        <f>IF(AND(материалы!Y26="",дверь!C24=""),"",IF(дверь!C24="","выбери добор",дверь!C24))</f>
        <v/>
      </c>
      <c r="P36" s="540"/>
      <c r="Q36" s="755"/>
      <c r="R36" s="861" t="str">
        <f>IF(дверь!C25="",IF(дверь!C25="",IF(V35&gt;1080,IF(дверь!C25="",дверь!C26),""),дверь!C25),дверь!C25)</f>
        <v/>
      </c>
      <c r="S36" s="861"/>
      <c r="T36" s="862"/>
      <c r="U36" s="455"/>
      <c r="V36" s="542" t="str">
        <f>IF(S33="",материалы!Z6,"")</f>
        <v/>
      </c>
      <c r="W36" s="461" t="str">
        <f>IF(X36="","","S доп.=")</f>
        <v/>
      </c>
      <c r="X36" s="288" t="str">
        <f>IF(S33="",IF(материалы!Y26="",IF(IF(V35*X35/10000&gt;210,V35*X35/10000-210,0)=0,"",IF(V35*X35/10000&gt;210,V35*X35/10000-210,0)),материалы!Y26),"")</f>
        <v/>
      </c>
      <c r="Y36" s="174"/>
      <c r="AC36" s="326" t="str">
        <f>IF(OR(F41="МДФ",F43="МДФ"),"https://xn--80akudsge.xn--90ais/konstruktor","")</f>
        <v>https://xn--80akudsge.xn--90ais/konstruktor</v>
      </c>
      <c r="AD36" s="146"/>
      <c r="AK36" s="57">
        <f>ROUND(X35/100,0)</f>
        <v>0</v>
      </c>
    </row>
    <row r="37" spans="1:37" ht="21" customHeight="1">
      <c r="A37" s="850"/>
      <c r="B37" s="64" t="str">
        <f>IF(OR(V35="",V35=860,V35=960),"",1)</f>
        <v/>
      </c>
      <c r="C37" s="677" t="str">
        <f>IF(S33="",IF(AND(B37="",B36=""),"",IF(OR(B36=1,B37=1),"НЕ СТАНДАРТ+20р.","")),"")</f>
        <v/>
      </c>
      <c r="D37" s="675"/>
      <c r="E37" s="74"/>
      <c r="F37" s="332" t="str">
        <f>IF(X34="внутренняя","",IF(AND(G41="Фанера",G37=""),"Наличник_Фанера",IF(AND(OR(F41="МДФ_",F41="МДФ"),G37=""),"Наличник_МДФ",G37)))</f>
        <v>Наличник_МДФ</v>
      </c>
      <c r="G37" s="331"/>
      <c r="H37" s="329" t="str">
        <f>IF(AND(L37=0,O37=0,R37=0),"",IF(X34="внутренняя","",IF(AND(OR(F41="МДФ",F41="МДФ_",G41="Фанера"),G37="",I37=""),"Стандарт",IF(AND(I37="",G37="Капитель_"),"Капелла",I37))))</f>
        <v>Стандарт</v>
      </c>
      <c r="I37" s="330"/>
      <c r="J37" s="131"/>
      <c r="L37" s="763" t="str">
        <f>IF(AND(M34="Индивид.",G41=""),"",IF(M37="","50",M37))</f>
        <v>50</v>
      </c>
      <c r="M37" s="769"/>
      <c r="N37" s="188"/>
      <c r="O37" s="775" t="str">
        <f>IF(AND(M34="Индивид.",G41=""),"",IF(P37="","50",P37))</f>
        <v>50</v>
      </c>
      <c r="P37" s="769"/>
      <c r="Q37" s="764"/>
      <c r="R37" s="773" t="str">
        <f>IF(AND(M34="Индивид.",G41=""),"",IF(S37="","50",S37))</f>
        <v>50</v>
      </c>
      <c r="S37" s="769"/>
      <c r="T37" s="774"/>
      <c r="U37" s="69"/>
      <c r="V37" s="85" t="s">
        <v>87</v>
      </c>
      <c r="W37" s="276" t="str">
        <f>IF(X37="","д.10",X37)</f>
        <v>д.10</v>
      </c>
      <c r="X37" s="230"/>
      <c r="Y37" s="204"/>
      <c r="Z37" s="204"/>
      <c r="AA37" s="204"/>
      <c r="AB37" s="204"/>
      <c r="AD37" s="205" t="s">
        <v>410</v>
      </c>
      <c r="AK37" s="57">
        <f>ROUND(V35/100,0)</f>
        <v>0</v>
      </c>
    </row>
    <row r="38" spans="1:37" ht="24.75" customHeight="1">
      <c r="A38" s="850"/>
      <c r="C38" s="64"/>
      <c r="D38" s="64">
        <f>IF(C37="НЕ СТАНДАРТ+20р.",20,0)</f>
        <v>0</v>
      </c>
      <c r="F38" s="399" t="str">
        <f>IF(M34="Индивид.","",IF(S33="",IF(OR(M34="О_0",M34="О_1",M34="М_0",M34="М_1"),"Без Микро-Термо разрыва",IF(G38="","Без ПКТ",G38)),""))</f>
        <v>Без ПКТ</v>
      </c>
      <c r="G38" s="641"/>
      <c r="H38" s="239"/>
      <c r="I38" s="166"/>
      <c r="J38" s="166"/>
      <c r="K38" s="166"/>
      <c r="L38" s="168" t="s">
        <v>88</v>
      </c>
      <c r="N38" s="52" t="str">
        <f>IF(OR(S34="3-х конт.",G38="Терморазрыв"),IF(AND(OR(S34="3-х конт.",G38="Терморазрыв"),F41="металл"),"Верх","Верх."),"Верх_")</f>
        <v>Верх_</v>
      </c>
      <c r="O38" s="133" t="str">
        <f>IF(P38="",IF(Фурнитура!F5=0,"",HLOOKUP(Фурнитура!F5,Таблица6[#All],3,0)),P38)</f>
        <v>Vela Т-47</v>
      </c>
      <c r="P38" s="282"/>
      <c r="Q38" s="415"/>
      <c r="R38" s="566" t="str">
        <f>IF(AND(S38="",G38="ПКТ"),"Авт.Crit",IF(AND(S38="",S33=""),IF(OR(O38="",O38="нет"),"",IF(S38="","без шторки",S38)),S38))</f>
        <v>без шторки</v>
      </c>
      <c r="S38" s="260"/>
      <c r="T38" s="157"/>
      <c r="U38" s="74" t="str">
        <f>IF(O38=0,"",IF(AND(OR(M34="О_2",M34="М_3"),OR(I41="_12мм",I41="_16мм",I41="_12_влаго",I41="_16_влаго")),"Шторка_О_2_М_3","Шторка"))</f>
        <v>Шторка</v>
      </c>
      <c r="V38" s="84" t="str">
        <f>IF(C45="","Глазок","Окно_шт")</f>
        <v>Глазок</v>
      </c>
      <c r="W38" s="634" t="str">
        <f>IF(M34="Индивид.","",IF(AND(V38="Окно_шт",X38=""),"1",IF(G43="металл_","нет",IF(C45="",IF(X38="","Круг хром",X38),X38))))</f>
        <v>Круг хром</v>
      </c>
      <c r="X38" s="236"/>
      <c r="Y38" s="846" t="str">
        <f>IF(AND(V38="Окно_шт",OR(X38="Да",X38="Нет",X38="")),IF(OR(S36="2-х створ.",O36="Добор 1 шт.",O36="Добор 2 шт.",O36="Добор 3 шт."),"- выбери кол-во окон",""),"")</f>
        <v/>
      </c>
      <c r="Z38" s="847"/>
      <c r="AA38" s="401"/>
      <c r="AB38" s="206"/>
      <c r="AK38" s="57" t="str">
        <f>IF(R36="2-х створ."," 2","")</f>
        <v/>
      </c>
    </row>
    <row r="39" spans="1:37" ht="24.75" customHeight="1">
      <c r="B39" s="406" t="str">
        <f>P35</f>
        <v>выбор</v>
      </c>
      <c r="D39" s="59"/>
      <c r="F39" s="56"/>
      <c r="G39" s="619">
        <f>IF(AD34="",IF(AD33="","",IF(X33="","",IF(AB33="курс =",ROUND(X33*AD33+O47,2),""))),AD34)</f>
        <v>838.2</v>
      </c>
      <c r="H39" s="273"/>
      <c r="J39" s="183" t="str">
        <f>IF(O39="","","регулятор")</f>
        <v>регулятор</v>
      </c>
      <c r="K39" s="182"/>
      <c r="L39" s="56"/>
      <c r="N39" s="52" t="str">
        <f>IF(OR(S34="3-х конт.",G38="Терморазрыв"),"Низ","Низ_")</f>
        <v>Низ_</v>
      </c>
      <c r="O39" s="132" t="str">
        <f>IF(F40="Пожарка",Цена!C205,IF(P39="",HLOOKUP(Фурнитура!F50,Таблица9[#All],3,0),P39))</f>
        <v>Vela Т-42</v>
      </c>
      <c r="P39" s="417"/>
      <c r="Q39" s="413"/>
      <c r="R39" s="645" t="str">
        <f>IF(OR(P39="Kale 155 рол.",P39="Kale155-В рол.",B40="Р001",B40="Порошок",O39="",B40="AVERS_HP_72.1303"),"",IF(S39="","без_накладки",S39))</f>
        <v>без_накладки</v>
      </c>
      <c r="S39" s="418"/>
      <c r="T39" s="414" t="str">
        <f>IF(P39="Kale155-В рол.","",IF(U39="чёрный","Цил","Цил."))</f>
        <v>Цил.</v>
      </c>
      <c r="U39" s="668" t="str">
        <f>IF(M34="Индивид.","",IF(P39="Kale155-В рол.","",IF(F40="Чёрная","чёрный",IF(AND(G38="ПКТ",V39=""),Цена!$C$238,IF(V39="","Стандарт",V39)))))</f>
        <v>Стандарт</v>
      </c>
      <c r="V39" s="786"/>
      <c r="W39" s="252" t="str">
        <f>IF(P39="Kale155-В рол.","",IF(V39="","Сл/Пв",VLOOKUP(Бланк!V39,Таблица24[#All],2,0)))</f>
        <v>Сл/Пв</v>
      </c>
      <c r="X39" s="254"/>
      <c r="Y39" s="175"/>
      <c r="Z39" s="600" t="str">
        <f>IF(C40="Crit_развёр.","",IF(P39="Крит А-8","выбери ручку Crit_развёр.",""))</f>
        <v/>
      </c>
      <c r="AA39" s="175"/>
      <c r="AB39" s="175"/>
      <c r="AK39" s="388" t="b">
        <f>IF(AND(S36="2-х створ.",P35="левая")," 2Л",IF(AND(S36="",P35="левая")," Л",IF(AND(S36="",P35="правая"),"Пр")))</f>
        <v>0</v>
      </c>
    </row>
    <row r="40" spans="1:37" ht="18.75">
      <c r="A40" s="161" t="s">
        <v>493</v>
      </c>
      <c r="B40" s="278" t="str">
        <f>IF(P39="Биометрический","био",IF(AND(OR(S34="3-х конт.",G38="ПКТ"),C40=""),"розетка",IF(C40="",HLOOKUP(M34,Таблица1[#All],10,0),C40)))</f>
        <v>розетка</v>
      </c>
      <c r="C40" s="840"/>
      <c r="D40" s="500"/>
      <c r="E40" s="82" t="s">
        <v>89</v>
      </c>
      <c r="F40" s="826" t="str">
        <f>IF(G40="",VLOOKUP(B40,Цвет,2,0),G40)</f>
        <v>хром</v>
      </c>
      <c r="G40" s="838"/>
      <c r="H40" s="213" t="str">
        <f>IF(S33="",IF(I40="","без доводчика",I40),"")</f>
        <v>без доводчика</v>
      </c>
      <c r="I40" s="256"/>
      <c r="J40" s="59"/>
      <c r="K40" s="59"/>
      <c r="L40" s="59"/>
      <c r="M40" s="361" t="s">
        <v>348</v>
      </c>
      <c r="N40" s="71"/>
      <c r="O40" s="276" t="str">
        <f>IF(P40="",HLOOKUP(M34,Таблица1[#All],9,0),P40)</f>
        <v>да</v>
      </c>
      <c r="P40" s="189"/>
      <c r="Q40" s="159"/>
      <c r="R40" s="103" t="str">
        <f>IF(S33="",IF(S40="","без геркона",S40),"")</f>
        <v>без геркона</v>
      </c>
      <c r="S40" s="257"/>
      <c r="T40" s="167"/>
      <c r="U40" s="56"/>
      <c r="V40" s="160" t="str">
        <f>IF(O39="","",IF(R39="без_накладки","Броня",""))</f>
        <v>Броня</v>
      </c>
      <c r="W40" s="277" t="str">
        <f>IF(OR(S397="DP-11",P39="биометрический"),"нет",IF(AND(R34="3-х конт.",X40=""),"Apecs",IF(V40="","нет",IF(X40="",HLOOKUP(M34,Таблица1[#All],14,0),X40))))</f>
        <v>Crit</v>
      </c>
      <c r="X40" s="845"/>
      <c r="Y40" s="176"/>
      <c r="Z40" s="281" t="str">
        <f>IF(S39="",IF(AND(OR(S34="3-х конт.",G38="ПКТ",R39="без_накладки"),OR(W40="",X40="нет")),"- Выбери броню",""),"")</f>
        <v/>
      </c>
      <c r="AA40" s="281"/>
      <c r="AB40" s="177"/>
      <c r="AK40" s="57" t="s">
        <v>876</v>
      </c>
    </row>
    <row r="41" spans="1:37" ht="34.5" customHeight="1">
      <c r="A41" s="852" t="str">
        <f>IF(F41="Фанера","",IF(OR(I41="_8_влаго",I41="_10_влаго",I41="_12_влаго",I41="_16_влаго"),"",IF(OR(M41="ХФ_1",M41="ХФ_2",M41="ХФ_3",E42="окраска"),"Выберите наружний влагостойкий щит","")))</f>
        <v/>
      </c>
      <c r="B41" s="852"/>
      <c r="C41" s="852"/>
      <c r="D41" s="70"/>
      <c r="E41" s="275" t="s">
        <v>315</v>
      </c>
      <c r="F41" s="259" t="str">
        <f>IF(G41="",HLOOKUP(M34,Таблица1[#All],17,0),G41)</f>
        <v>МДФ</v>
      </c>
      <c r="G41" s="267"/>
      <c r="H41" s="279" t="str">
        <f>IF(G41="Фанера","_12мм.",IF(OR(F41="металл",F41="_металл"),O34,IF(I41="",HLOOKUP(F41,Таблица11[#All],2,0),I41)))</f>
        <v>_8мм</v>
      </c>
      <c r="I41" s="268"/>
      <c r="J41" s="379" t="str">
        <f>IF(AND(OR(VLOOKUP(H41,Таблица13[#All],2,0)="фрез",VLOOKUP(H41,Таблица13[#All],2,0)="фрез.",VLOOKUP(H41,Таблица13[#All],2,0)="фрез.."),K41="ЛАЗЕР"),"ОШИБКА",IF(AND(VLOOKUP(H41,Таблица13[#All],2,0)="лаз.",K41="ЛАЗЕР"),K41,VLOOKUP(H41,Таблица13[#All],2,0)))</f>
        <v>фрез</v>
      </c>
      <c r="K41" s="400"/>
      <c r="L41" s="132" t="str">
        <f>IF(I41="Заказчика","",IF(M41="",HLOOKUP(M34,Таблица1[#All],20,0),M41))</f>
        <v>прост.</v>
      </c>
      <c r="M41" s="622"/>
      <c r="N41" s="623"/>
      <c r="O41" s="139" t="str">
        <f>IF(F41="Фанера","Фанера",IF(E42="окраска","окраска",IF(OR(M41="ХФ_1",M41="ХФ_2",M41="ХФ_3"),"плёнка",IF(D42="_плёнка","плёнка",D42))))</f>
        <v>плёнка</v>
      </c>
      <c r="P41" s="880"/>
      <c r="Q41" s="881"/>
      <c r="R41" s="235" t="str">
        <f>IF(S33="",IF(S41="","Одноцвет",S41),"")</f>
        <v>Одноцвет</v>
      </c>
      <c r="S41" s="238"/>
      <c r="T41" s="83"/>
      <c r="U41" s="104" t="str">
        <f>IF(V41="",HLOOKUP(M34,Таблица1[#All],16,0),V41)</f>
        <v>шёлк</v>
      </c>
      <c r="V41" s="181"/>
      <c r="W41" s="195"/>
      <c r="X41" s="266"/>
      <c r="Y41" s="207"/>
      <c r="Z41" s="265" t="str">
        <f>IF(X41="","- Выбери Цвет","")</f>
        <v>- Выбери Цвет</v>
      </c>
      <c r="AA41" s="265"/>
      <c r="AB41" s="207"/>
      <c r="AK41" s="388" t="str">
        <f>IF(OR(Номер_открывания_3=2,Номер_открывания_3=4,Номер_открывания_3=6,Номер_открывания_3=12,Номер_открывания_3=14,Номер_открывания_3=16)," Фр","")</f>
        <v/>
      </c>
    </row>
    <row r="42" spans="1:37" ht="33" customHeight="1">
      <c r="A42" s="852" t="str">
        <f>IF(OR(E42="окраска",G41="Фанера"),"",IF(AND(F42="Винорит",OR(G42="Винорит",G42="")),"",IF(OR(M41="ХФ_1",M41="ХФ_2",M41="ХФ_3"),"Выберите Винорит","")))</f>
        <v/>
      </c>
      <c r="B42" s="852"/>
      <c r="C42" s="852"/>
      <c r="D42" s="322" t="str">
        <f>IF(OR(E42="окраска",F41="Фанера"),"Окраска_",IF(IF(G41="МДФ","_плёнка",HLOOKUP(M34,Таблица1[#All],21,0))=0,"",IF(G41="МДФ","_плёнка",HLOOKUP(M34,Таблица1[#All],21,0))))</f>
        <v>_плёнка</v>
      </c>
      <c r="E42" s="323"/>
      <c r="F42" s="224" t="str">
        <f>IF(AND(F41="Фанера",G42=""),"Матовая",IF(AND(E42="_плёнка",OR(M41="ХФ_1",M41="ХФ_2",M41="ХФ_3")),"Винорит",IF(E42="окраска",G42,IF(AND(F41="Фанера",G42=""),"Матовая",IF(G42="",HLOOKUP($M34,Таблица1[#All],22,0),G42)))))</f>
        <v>ПВХ_Стандарт</v>
      </c>
      <c r="G42" s="457"/>
      <c r="H42" s="505"/>
      <c r="I42" s="853"/>
      <c r="J42" s="853"/>
      <c r="K42" s="853"/>
      <c r="L42" s="853"/>
      <c r="M42" s="853"/>
      <c r="N42" s="853"/>
      <c r="O42" s="518" t="str">
        <f>IF(S33="",IF(OR(F42="Винорит",E42="окраска"),IF(P42="",HLOOKUP(M34,Таблица1[#All],29,0),P42),IF(G41="Фанера","Патина","")),"")</f>
        <v/>
      </c>
      <c r="P42" s="261"/>
      <c r="Q42" s="179"/>
      <c r="R42" s="105" t="str">
        <f>IF(O42="Патина","Цвет патины","")</f>
        <v/>
      </c>
      <c r="S42" s="320"/>
      <c r="T42" s="321"/>
      <c r="U42" s="89"/>
      <c r="V42" s="884"/>
      <c r="W42" s="884"/>
      <c r="X42" s="885"/>
      <c r="Y42" s="200">
        <f>MATCH(F42,Профдекор[#Headers],0)</f>
        <v>4</v>
      </c>
      <c r="Z42" s="721"/>
      <c r="AA42" s="319"/>
      <c r="AB42" s="206"/>
    </row>
    <row r="43" spans="1:37" ht="33.75" customHeight="1">
      <c r="A43" s="852" t="str">
        <f>IF(F43="Фанера","",IF(OR(I43="_8_влаго",I43="_10_влаго",I43="_12_влаго",I43="_16_влаго"),"",IF(OR(M43="ХФ_1",M43="ХФ_2",M43="ХФ_3",E44="окраска"),"Выберите внутрен. влагостойкий щит","")))</f>
        <v/>
      </c>
      <c r="B43" s="852"/>
      <c r="C43" s="852"/>
      <c r="D43" s="467"/>
      <c r="E43" s="275" t="s">
        <v>316</v>
      </c>
      <c r="F43" s="259" t="str">
        <f>IF(G38="ПКТ",Таблица11[[#Headers],[МДФ_без_молд]],IF('Отделка, таб.'!I21="3-х конт.","_МДФ",IF(G43="",HLOOKUP(M34,Таблица1[#All],23,0),G43)))</f>
        <v>МДФ</v>
      </c>
      <c r="G43" s="280"/>
      <c r="H43" s="494" t="str">
        <f>IF(G43="без отделки","",IF(G43="Фанера","_12мм.",IF(I43="",HLOOKUP(F43,Таблица11[#All],2,0),I43)))</f>
        <v>_8мм</v>
      </c>
      <c r="I43" s="268"/>
      <c r="J43" s="758" t="str">
        <f>IF(K43="",IF(OR(F43="МДФ",F43="МДФ_",F43="Фанера",G43="МДФ_без_молд"),"фрез",K43),"")</f>
        <v>фрез</v>
      </c>
      <c r="K43" s="759"/>
      <c r="L43" s="757" t="str">
        <f>IF(I43="Заказчика","",IF(M43="",HLOOKUP(M34,Таблица1[#All],25,0),M43))</f>
        <v>прост.</v>
      </c>
      <c r="M43" s="622"/>
      <c r="N43" s="623"/>
      <c r="O43" s="499" t="str">
        <f>IF(G43="Фанера","Фанера",IF(E44="окраска","окраска",IF(OR(M43="ХФ_1",M43="ХФ_2",M43="ХФ_3"),"плёнка",IF(D44="_плёнка","плёнка",D44))))</f>
        <v>плёнка</v>
      </c>
      <c r="P43" s="880"/>
      <c r="Q43" s="881"/>
      <c r="R43" s="106" t="str">
        <f>IF(S33="",IF(OR(F43="МДФ",F43="МДФ_",F43="Фанера"),"без портала",S43),"")</f>
        <v>без портала</v>
      </c>
      <c r="S43" s="262"/>
      <c r="T43" s="163"/>
      <c r="U43" s="91" t="str">
        <f>IF(V43="",IF(S43="","","2,5 шт."),V43)</f>
        <v/>
      </c>
      <c r="V43" s="263"/>
      <c r="W43" s="197"/>
      <c r="X43" s="264"/>
      <c r="Y43" s="287" t="str">
        <f>IF(OR(F43="МДФ",F43="МДФ_"),IF(M43="без фрез.","","щит"),"")</f>
        <v>щит</v>
      </c>
      <c r="Z43" s="286" t="str">
        <f>IF(_xlfn.IFNA('Отделка, таб.'!H24,"Не верный ввод МДФ")=0,IF(Y43="Щит0","Выбери щит и фрезеровку",IF(AND(Y43="щит",P43=""),"Выбери фрезеровку","")),_xlfn.IFNA('Отделка, таб.'!H24,"Не верный ввод МДФ"))</f>
        <v>Выбери фрезеровку</v>
      </c>
      <c r="AA43" s="286"/>
      <c r="AB43" s="208"/>
    </row>
    <row r="44" spans="1:37" ht="28.5" customHeight="1">
      <c r="A44" s="852" t="str">
        <f>IF(OR(E44="окраска",G43="Фанера"),"",IF(AND(F44="Винорит",OR(G44="Винорит",G44="")),"",IF(OR(M43="ХФ_1",M43="ХФ_2",M43="ХФ_3"),"Выберите Винорит","")))</f>
        <v/>
      </c>
      <c r="B44" s="852"/>
      <c r="C44" s="852"/>
      <c r="D44" s="322" t="str">
        <f>IF(G43="Фанера","Окраска_",IF(IF(OR(F43="МДФ",S43="портал:"),"_плёнка",HLOOKUP(M34,Таблица1[#All],27,0))=0,"",IF(OR(F43="МДФ",S43="портал:"),"_плёнка",HLOOKUP(M34,Таблица1[#All],27,0))))</f>
        <v>_плёнка</v>
      </c>
      <c r="E44" s="323"/>
      <c r="F44" s="259" t="str">
        <f>IF(AND(G43="Фанера",G44=""),"Матовая",IF(AND(E44="_плёнка",OR(M43="ХФ_1",M43="ХФ_2",M43="ХФ_3")),"Винорит",IF(E44="окраска",G44,IF(AND(F43="Фанера",G44=""),"Матовая",IF(G44="",HLOOKUP($M34,Таблица1[#All],28,0),G44)))))</f>
        <v>ПВХ_Стандарт</v>
      </c>
      <c r="G44" s="457"/>
      <c r="H44" s="137"/>
      <c r="I44" s="886"/>
      <c r="J44" s="854"/>
      <c r="K44" s="854"/>
      <c r="L44" s="855"/>
      <c r="M44" s="855"/>
      <c r="N44" s="856"/>
      <c r="O44" s="519" t="str">
        <f>IF(S33="",IF(OR(F44="Винорит",E44="окраска"),IF(P44="",HLOOKUP(M34,Таблица1[#All],29,0),P44),IF(O43="Фанера","Патина","")),"")</f>
        <v/>
      </c>
      <c r="P44" s="261"/>
      <c r="Q44" s="255"/>
      <c r="R44" s="105" t="str">
        <f>IF(O44="Патина","Цвет патины","")</f>
        <v/>
      </c>
      <c r="S44" s="320"/>
      <c r="T44" s="321"/>
      <c r="U44" s="327" t="str">
        <f>IF(V44="наличник","наличник",IF(AND(X34="внутренняя",OR(F43="МДФ",F43="МДФ_"),V44=""),"НАЛИЧНИК",IF(S43="портал:","без наличника","")))</f>
        <v/>
      </c>
      <c r="V44" s="385"/>
      <c r="W44" s="169"/>
      <c r="X44" s="289"/>
      <c r="Y44" s="200">
        <f>MATCH(F44,Профдекор[#Headers],0)</f>
        <v>4</v>
      </c>
      <c r="Z44" s="721"/>
      <c r="AA44" s="319"/>
      <c r="AB44" s="208"/>
    </row>
    <row r="45" spans="1:37" ht="21">
      <c r="A45" s="93"/>
      <c r="B45" s="214" t="str">
        <f>IF(S33="","окно_выбор","")</f>
        <v>окно_выбор</v>
      </c>
      <c r="C45" s="251"/>
      <c r="D45" s="198"/>
      <c r="E45" s="199"/>
      <c r="F45" s="429" t="str">
        <f>IF(M34="Индивид.","",IF(G38="ПКТ","накладка из Н/С",IF(S33="",IF(G45="","без накладки на порог","накладка из Н/С"),"")))</f>
        <v>без накладки на порог</v>
      </c>
      <c r="G45" s="245"/>
      <c r="H45" s="199"/>
      <c r="I45" s="199"/>
      <c r="J45" s="172" t="str">
        <f>IF(Исходные!BM5="",IF(M34="Индивид.","",IF(S33="",IF(M41="Пр.штапик","штапик",IF(K45="","выбор вставки из н/с",K45)),"")),Исходные!BM5)</f>
        <v>выбор вставки из н/с</v>
      </c>
      <c r="K45" s="191"/>
      <c r="L45" s="169"/>
      <c r="M45" s="80"/>
      <c r="N45" s="163"/>
      <c r="O45" s="162" t="str">
        <f>IF(S33="",IF(P45="","выбор накладки",""),"")</f>
        <v>выбор накладки</v>
      </c>
      <c r="P45" s="246"/>
      <c r="Q45" s="164"/>
      <c r="R45" s="169" t="str">
        <f>IF(P45="накладка","тип накладки","")</f>
        <v/>
      </c>
      <c r="S45" s="192"/>
      <c r="T45" s="163"/>
      <c r="U45" s="169" t="str">
        <f>IF(S45="","","Покраска")</f>
        <v/>
      </c>
      <c r="V45" s="190"/>
      <c r="W45" s="170" t="str">
        <f>IF(V45="","","цвет")</f>
        <v/>
      </c>
      <c r="X45" s="193"/>
      <c r="Y45" s="209" t="str">
        <f>IF(AND(C45="Окно Е с решёткой",V35&lt;920),"Ширина коробки для окна 'Е' с решёткой, должна быть не менее 920мм.","")</f>
        <v/>
      </c>
      <c r="Z45" s="210"/>
      <c r="AA45" s="210"/>
      <c r="AB45" s="210"/>
    </row>
    <row r="46" spans="1:37" ht="53.25" customHeight="1">
      <c r="A46" s="92"/>
      <c r="B46" s="171"/>
      <c r="C46" s="882"/>
      <c r="D46" s="882"/>
      <c r="E46" s="882"/>
      <c r="F46" s="882"/>
      <c r="G46" s="882"/>
      <c r="H46" s="882"/>
      <c r="I46" s="882"/>
      <c r="J46" s="882"/>
      <c r="K46" s="882"/>
      <c r="L46" s="882"/>
      <c r="M46" s="882"/>
      <c r="N46" s="882"/>
      <c r="O46" s="882"/>
      <c r="P46" s="882"/>
      <c r="Q46" s="882"/>
      <c r="R46" s="882"/>
      <c r="S46" s="882"/>
      <c r="T46" s="882"/>
      <c r="U46" s="882"/>
      <c r="V46" s="882"/>
      <c r="W46" s="882"/>
      <c r="X46" s="883"/>
      <c r="Y46" s="211"/>
      <c r="Z46" s="211"/>
      <c r="AA46" s="211"/>
      <c r="AB46" s="211"/>
    </row>
    <row r="47" spans="1:37" ht="18.75" customHeight="1">
      <c r="A47" s="94" t="s">
        <v>373</v>
      </c>
      <c r="B47" s="27"/>
      <c r="C47" s="73">
        <f ca="1">TODAY()</f>
        <v>45804</v>
      </c>
      <c r="D47" s="290"/>
      <c r="E47" s="412" t="str">
        <f>IF(F47="","",IF(S33="","по СТБ 2433:",""))</f>
        <v>по СТБ 2433:</v>
      </c>
      <c r="F47" s="409" t="str">
        <f>IF(G47="",IF(M34="Индивид.","",IF(S33="",CONCATENATE(AK33,AK34,AL34," ",AK35,AK36,"-",AK37,AK38,AK39,AK40,AK41),"")),G47)</f>
        <v>ДВ2 СГ 0-0ЛОЖЬ П</v>
      </c>
      <c r="G47" s="430"/>
      <c r="H47" s="72"/>
      <c r="I47" s="194"/>
      <c r="J47" s="27"/>
      <c r="K47" s="865" t="str">
        <f>IF(S33="",IF(OR(N33="ЛС",N33="ТД"),"со склада г. Минск +",""),"")</f>
        <v/>
      </c>
      <c r="L47" s="866"/>
      <c r="M47" s="866"/>
      <c r="N47" s="866"/>
      <c r="O47" s="655">
        <f>IF(P47="",0,P47)</f>
        <v>0</v>
      </c>
      <c r="P47" s="658" t="str">
        <f>IF(S33="",IF(OR(N33="ЛС",N33="ТД"),IF(R36="2-х створ.",24,12),""),"")</f>
        <v/>
      </c>
      <c r="Q47" s="656"/>
      <c r="R47" s="656"/>
      <c r="S47" s="657"/>
      <c r="T47" s="27"/>
      <c r="U47" s="107" t="str">
        <f>IF(S33="",IF(V47="","без упаковки",""),"")</f>
        <v>без упаковки</v>
      </c>
      <c r="V47" s="296"/>
      <c r="W47" s="196"/>
      <c r="X47" s="86"/>
      <c r="Y47" s="212"/>
      <c r="Z47" s="212"/>
      <c r="AA47" s="212"/>
      <c r="AB47" s="212"/>
    </row>
  </sheetData>
  <sheetProtection password="CC27" sheet="1" objects="1" scenarios="1" formatCells="0" selectLockedCells="1"/>
  <protectedRanges>
    <protectedRange password="CF7A" sqref="AD1" name="Диапазон14"/>
    <protectedRange sqref="G5 G21 G37" name="Диапазон12"/>
    <protectedRange sqref="S1 S17 S33" name="Диапазон1_8_1"/>
    <protectedRange sqref="S45:AB45 E10 S29:AB29 K9 K25 K41 S13:AB13 E12 E26 E28 E42 E44" name="Диапазон9"/>
    <protectedRange sqref="S40 K40 K43 N43 X43:X44 S42:T44 I41:I42 M45:N45 C47 X47 Q13 X9:Y9 N41 P41:Q44 V43:V44 K29:L29 K45 Z37:AB37 Z47:AB47 I44 Q29 Q45 G10 N9 I9:I10 P10 S10:T10 S11 X11 V11 AB40:AB41 AB9 AB43:AB44 AB38 Q40 N25 K13 X25:Y25 X41:Y41 G12 G26 G28 G41:G42 G44" name="Диапазон7"/>
    <protectedRange sqref="C30:C31 C18 I9 C34 E18 N36 S36:T36 S40 G41 I41 K40 Q34 C14 Q36 Z37:AB37 AB40 X34 C46 E34 E36:E37 Q40 AB38 C20 S34:T34 S2 S18" name="Диапазон6"/>
    <protectedRange sqref="T18 N20 S20:T20 S24 N27 X27:X28 V27:V28 S26:T28 I25:I28 E29 G25 M29:N29 V20 Q18 X18 Z21:AB21 Z25:AB25 Z41:AA41 Z9:AA9 P25:Q28 G27 AB24 AB27:AB28 AB22 Q24 X20 X4 Q20 G43" name="Диапазон5"/>
    <protectedRange sqref="C34:D34 A2 B32 B33:D33 C18:D18 B3:B4 D1:D2 B1:C1 D5:D7 D23 D39 F15 B17:E17 A18 A34 B5:C6 B19:B22 B35:B38 C21:D22 C37:D38 F31 F47" name="Диапазон3"/>
    <protectedRange sqref="M4:N4 X5:AB5 C8:D8 G8:G9 V9:V10 P12:Q12 S26:T26 I25:I26 P28:Q28 V1:V3 P6:Q9 Q2:Q4 X2:Y3 AB3 Y34:Y35 G24 G40 X21:AB21 X37:Y37 M5 S5 M33:N34 M17:N18 P18 P34 X6 V7 Q10 X10 AB10 Y11 P2:P5 AB19 AB35 Z6:AB6 X22 X38 Z22:AB22 Z38:AA38 Y27 Y43 M1:N2 S34:T34 S2:T2 S18:T18 P24 P40 V23 V39 C24:D24 C40 P22:Q23 P38:Q39 X8:AB8 X24:AA24 X40:AA40 P19:Q19 P35:Q35 V25:V26 X26 V41:V42 X42 M20:M21 S21 P20:P21 M36:M37 S37 P36:P37 V17:V19 X18:Y19 V33:V35 X35" name="Диапазон1"/>
    <protectedRange sqref="S20:T20 P13 P11:Q11 V15 N13 I27:I28 M29:N30 I30:I31 P27:Q27 K30 S27:T28 T11:T13 V10 C31:D31 S12 T29 T45 S14:T15 M14:N14 F3:G3 I14:I15 P14:Q15 K14 I43:I44 S46:T46 M45:N46 C46:E46 I46 K46 P29 P45 I10:I12 V12 C30:E30 D47 C14:C15 D14:E14 C13:D13 C29 C45:D45 F19:G19 F35:G35 S30:T31 S47 V31 V47 P30:Q31 P46:Q47 V26 V42" name="Диапазон2"/>
    <protectedRange sqref="I5 I8 I24 I40 I21 I37 G10:G12 G26:G28 G42:G44" name="Диапазон4"/>
    <protectedRange sqref="S8:T8 M11:N11 I11:I12 S12:T12 P13 G13 P9:Q9 C13 N13 V15 S39 V10 X12 S29 S45 N29 S4:T4 I43 T5 N5 Q5 P29 P45 P11:Q12 Q10 V12 Z11:AA11 AB11:AB12 S6:T6 Z27:AA27 Z43:AA43 T24 T40 S7 S13 C29 C45 G29 G45 S22:S23 S38:T38 M27 M43 V31 V47 V26 V42 T21:T22 N21 Q21 T37 N37 Q37" name="Диапазон8"/>
    <protectedRange sqref="AC4 AC20 AC36" name="Диапазон11"/>
    <protectedRange sqref="I4 I20 I36" name="Диапазон1_1"/>
    <protectedRange sqref="M9 M25 M41" name="Диапазон7_1"/>
  </protectedRanges>
  <mergeCells count="68">
    <mergeCell ref="R36:T36"/>
    <mergeCell ref="V1:W1"/>
    <mergeCell ref="V17:W17"/>
    <mergeCell ref="V33:W33"/>
    <mergeCell ref="V26:X26"/>
    <mergeCell ref="V10:X10"/>
    <mergeCell ref="S1:T1"/>
    <mergeCell ref="S3:T3"/>
    <mergeCell ref="K47:N47"/>
    <mergeCell ref="A41:C41"/>
    <mergeCell ref="Y38:Z38"/>
    <mergeCell ref="P27:Q27"/>
    <mergeCell ref="P9:Q9"/>
    <mergeCell ref="P11:Q11"/>
    <mergeCell ref="C14:X14"/>
    <mergeCell ref="I17:L17"/>
    <mergeCell ref="P25:Q25"/>
    <mergeCell ref="B17:C17"/>
    <mergeCell ref="S17:T17"/>
    <mergeCell ref="M18:N18"/>
    <mergeCell ref="A28:C28"/>
    <mergeCell ref="A25:C25"/>
    <mergeCell ref="I28:N28"/>
    <mergeCell ref="A26:C26"/>
    <mergeCell ref="P43:Q43"/>
    <mergeCell ref="P41:Q41"/>
    <mergeCell ref="C46:X46"/>
    <mergeCell ref="V42:X42"/>
    <mergeCell ref="I44:N44"/>
    <mergeCell ref="A42:C42"/>
    <mergeCell ref="A44:C44"/>
    <mergeCell ref="A43:C43"/>
    <mergeCell ref="B1:C1"/>
    <mergeCell ref="I1:L1"/>
    <mergeCell ref="H3:M3"/>
    <mergeCell ref="M2:N2"/>
    <mergeCell ref="I42:N42"/>
    <mergeCell ref="A34:A38"/>
    <mergeCell ref="K15:N15"/>
    <mergeCell ref="C30:X30"/>
    <mergeCell ref="B33:C33"/>
    <mergeCell ref="S19:T19"/>
    <mergeCell ref="P19:Q19"/>
    <mergeCell ref="H19:M19"/>
    <mergeCell ref="A27:C27"/>
    <mergeCell ref="S35:T35"/>
    <mergeCell ref="M34:N34"/>
    <mergeCell ref="I33:L33"/>
    <mergeCell ref="S33:T33"/>
    <mergeCell ref="I26:N26"/>
    <mergeCell ref="H35:M35"/>
    <mergeCell ref="P35:Q35"/>
    <mergeCell ref="K31:N31"/>
    <mergeCell ref="Y22:Z22"/>
    <mergeCell ref="Y14:AE14"/>
    <mergeCell ref="A2:A6"/>
    <mergeCell ref="AE11:AH12"/>
    <mergeCell ref="A12:C12"/>
    <mergeCell ref="Y6:Z6"/>
    <mergeCell ref="I10:N10"/>
    <mergeCell ref="I12:N12"/>
    <mergeCell ref="A10:C10"/>
    <mergeCell ref="A9:C9"/>
    <mergeCell ref="A11:C11"/>
    <mergeCell ref="R4:T4"/>
    <mergeCell ref="R20:T20"/>
    <mergeCell ref="A18:A22"/>
    <mergeCell ref="P3:Q3"/>
  </mergeCells>
  <conditionalFormatting sqref="AE1">
    <cfRule type="colorScale" priority="192">
      <colorScale>
        <cfvo type="formula" val="1"/>
        <cfvo type="max"/>
        <color rgb="FFFF7128"/>
        <color rgb="FFFFEF9C"/>
      </colorScale>
    </cfRule>
  </conditionalFormatting>
  <conditionalFormatting sqref="V3">
    <cfRule type="cellIs" dxfId="224" priority="187" operator="lessThan">
      <formula>1</formula>
    </cfRule>
    <cfRule type="cellIs" dxfId="223" priority="190" operator="lessThan">
      <formula>1</formula>
    </cfRule>
    <cfRule type="cellIs" dxfId="222" priority="191" operator="equal">
      <formula>$V$3=""</formula>
    </cfRule>
  </conditionalFormatting>
  <conditionalFormatting sqref="X3">
    <cfRule type="cellIs" dxfId="221" priority="188" operator="lessThan">
      <formula>1</formula>
    </cfRule>
    <cfRule type="cellIs" dxfId="220" priority="189" operator="lessThan">
      <formula>1</formula>
    </cfRule>
  </conditionalFormatting>
  <conditionalFormatting sqref="B1:C1">
    <cfRule type="cellIs" dxfId="219" priority="164" operator="equal">
      <formula>"Введи ширину"</formula>
    </cfRule>
    <cfRule type="cellIs" dxfId="218" priority="165" operator="equal">
      <formula>"Введи ширину"</formula>
    </cfRule>
    <cfRule type="cellIs" dxfId="217" priority="166" operator="equal">
      <formula>"Введи ширину"</formula>
    </cfRule>
    <cfRule type="cellIs" dxfId="216" priority="167" operator="equal">
      <formula>"Введи ширину"</formula>
    </cfRule>
    <cfRule type="cellIs" dxfId="215" priority="169" operator="equal">
      <formula>"Введи ширину"</formula>
    </cfRule>
    <cfRule type="cellIs" dxfId="214" priority="176" operator="equal">
      <formula>"Введи ширину"</formula>
    </cfRule>
  </conditionalFormatting>
  <conditionalFormatting sqref="D4">
    <cfRule type="cellIs" dxfId="213" priority="175" operator="equal">
      <formula>"введи высоту"</formula>
    </cfRule>
  </conditionalFormatting>
  <conditionalFormatting sqref="A2:A6">
    <cfRule type="cellIs" dxfId="212" priority="163" operator="equal">
      <formula>"Введи высоту"</formula>
    </cfRule>
    <cfRule type="cellIs" dxfId="211" priority="168" operator="equal">
      <formula>"Введи высоту"</formula>
    </cfRule>
    <cfRule type="cellIs" dxfId="210" priority="174" operator="equal">
      <formula>"Введи высоту"</formula>
    </cfRule>
  </conditionalFormatting>
  <conditionalFormatting sqref="B17:C17">
    <cfRule type="cellIs" dxfId="209" priority="157" operator="equal">
      <formula>"Введи ширину"</formula>
    </cfRule>
    <cfRule type="cellIs" dxfId="208" priority="158" operator="equal">
      <formula>"Введи ширину"</formula>
    </cfRule>
    <cfRule type="cellIs" dxfId="207" priority="159" operator="equal">
      <formula>"Введи ширину"</formula>
    </cfRule>
    <cfRule type="cellIs" dxfId="206" priority="160" operator="equal">
      <formula>"Введи ширину"</formula>
    </cfRule>
    <cfRule type="cellIs" dxfId="205" priority="161" operator="equal">
      <formula>"Введи ширину"</formula>
    </cfRule>
    <cfRule type="cellIs" dxfId="204" priority="162" operator="equal">
      <formula>"Введи ширину"</formula>
    </cfRule>
  </conditionalFormatting>
  <conditionalFormatting sqref="B33:C33">
    <cfRule type="cellIs" dxfId="203" priority="151" operator="equal">
      <formula>"Введи ширину"</formula>
    </cfRule>
    <cfRule type="cellIs" dxfId="202" priority="152" operator="equal">
      <formula>"Введи ширину"</formula>
    </cfRule>
    <cfRule type="cellIs" dxfId="201" priority="153" operator="equal">
      <formula>"Введи ширину"</formula>
    </cfRule>
    <cfRule type="cellIs" dxfId="200" priority="154" operator="equal">
      <formula>"Введи ширину"</formula>
    </cfRule>
    <cfRule type="cellIs" dxfId="199" priority="155" operator="equal">
      <formula>"Введи ширину"</formula>
    </cfRule>
    <cfRule type="cellIs" dxfId="198" priority="156" operator="equal">
      <formula>"Введи ширину"</formula>
    </cfRule>
  </conditionalFormatting>
  <conditionalFormatting sqref="A18:A22">
    <cfRule type="cellIs" dxfId="197" priority="148" operator="equal">
      <formula>"Введи высоту"</formula>
    </cfRule>
    <cfRule type="cellIs" dxfId="196" priority="149" operator="equal">
      <formula>"Введи высоту"</formula>
    </cfRule>
    <cfRule type="cellIs" dxfId="195" priority="150" operator="equal">
      <formula>"Введи высоту"</formula>
    </cfRule>
  </conditionalFormatting>
  <conditionalFormatting sqref="A34:A38">
    <cfRule type="cellIs" dxfId="194" priority="145" operator="equal">
      <formula>"Введи высоту"</formula>
    </cfRule>
    <cfRule type="cellIs" dxfId="193" priority="146" operator="equal">
      <formula>"Введи высоту"</formula>
    </cfRule>
    <cfRule type="cellIs" dxfId="192" priority="147" operator="equal">
      <formula>"Введи высоту"</formula>
    </cfRule>
  </conditionalFormatting>
  <conditionalFormatting sqref="G27">
    <cfRule type="cellIs" dxfId="191" priority="137" operator="equal">
      <formula>"МДФ_без_молд"</formula>
    </cfRule>
  </conditionalFormatting>
  <conditionalFormatting sqref="F11">
    <cfRule type="cellIs" dxfId="190" priority="135" operator="equal">
      <formula>"МДФ_без_молд"</formula>
    </cfRule>
  </conditionalFormatting>
  <conditionalFormatting sqref="F13">
    <cfRule type="cellIs" dxfId="189" priority="128" operator="equal">
      <formula>"накладка из Н/С"</formula>
    </cfRule>
  </conditionalFormatting>
  <conditionalFormatting sqref="X40">
    <cfRule type="expression" dxfId="188" priority="121">
      <formula>Z40="- Выбери броню"</formula>
    </cfRule>
  </conditionalFormatting>
  <conditionalFormatting sqref="X24">
    <cfRule type="expression" dxfId="187" priority="122">
      <formula>Z24="- Выбери броню"</formula>
    </cfRule>
  </conditionalFormatting>
  <conditionalFormatting sqref="X9">
    <cfRule type="expression" dxfId="186" priority="120">
      <formula>Z9="- Выбери Цвет"</formula>
    </cfRule>
  </conditionalFormatting>
  <conditionalFormatting sqref="X25">
    <cfRule type="expression" dxfId="185" priority="115">
      <formula>Z25="- Выбери Цвет"</formula>
    </cfRule>
  </conditionalFormatting>
  <conditionalFormatting sqref="X41">
    <cfRule type="expression" dxfId="184" priority="114">
      <formula>Z41="- Выбери Цвет"</formula>
    </cfRule>
  </conditionalFormatting>
  <conditionalFormatting sqref="V36">
    <cfRule type="cellIs" dxfId="183" priority="103" operator="notEqual">
      <formula>""</formula>
    </cfRule>
  </conditionalFormatting>
  <conditionalFormatting sqref="F29">
    <cfRule type="cellIs" dxfId="182" priority="101" operator="equal">
      <formula>"накладка из Н/С"</formula>
    </cfRule>
  </conditionalFormatting>
  <conditionalFormatting sqref="F45">
    <cfRule type="cellIs" dxfId="181" priority="100" operator="equal">
      <formula>"накладка из Н/С"</formula>
    </cfRule>
  </conditionalFormatting>
  <conditionalFormatting sqref="Z36">
    <cfRule type="cellIs" dxfId="180" priority="92" operator="equal">
      <formula>"ВЫБЕРИ нужную картинку"</formula>
    </cfRule>
  </conditionalFormatting>
  <conditionalFormatting sqref="V20">
    <cfRule type="cellIs" dxfId="179" priority="91" operator="notEqual">
      <formula>""</formula>
    </cfRule>
  </conditionalFormatting>
  <conditionalFormatting sqref="V4">
    <cfRule type="cellIs" dxfId="178" priority="90" operator="notEqual">
      <formula>""</formula>
    </cfRule>
  </conditionalFormatting>
  <conditionalFormatting sqref="R4:T4">
    <cfRule type="cellIs" dxfId="177" priority="89" operator="equal">
      <formula>"выбор 2-х створ."</formula>
    </cfRule>
  </conditionalFormatting>
  <conditionalFormatting sqref="R20:T20">
    <cfRule type="cellIs" dxfId="176" priority="88" operator="equal">
      <formula>"выбор 2-х створ."</formula>
    </cfRule>
  </conditionalFormatting>
  <conditionalFormatting sqref="R36:T36">
    <cfRule type="cellIs" dxfId="175" priority="87" operator="equal">
      <formula>"выбор 2-х створ."</formula>
    </cfRule>
  </conditionalFormatting>
  <conditionalFormatting sqref="O4">
    <cfRule type="cellIs" dxfId="174" priority="83" operator="equal">
      <formula>"выбери добор"</formula>
    </cfRule>
  </conditionalFormatting>
  <conditionalFormatting sqref="P4:Q4">
    <cfRule type="expression" dxfId="173" priority="82">
      <formula>$O$4="выбери добор"</formula>
    </cfRule>
  </conditionalFormatting>
  <conditionalFormatting sqref="O20">
    <cfRule type="cellIs" dxfId="172" priority="81" operator="equal">
      <formula>"выбери добор"</formula>
    </cfRule>
  </conditionalFormatting>
  <conditionalFormatting sqref="O36">
    <cfRule type="cellIs" dxfId="171" priority="80" operator="equal">
      <formula>"выбери добор"</formula>
    </cfRule>
  </conditionalFormatting>
  <conditionalFormatting sqref="P20:Q20">
    <cfRule type="expression" dxfId="170" priority="79">
      <formula>$O$20="выбери добор"</formula>
    </cfRule>
  </conditionalFormatting>
  <conditionalFormatting sqref="P36:Q36">
    <cfRule type="expression" dxfId="169" priority="78">
      <formula>$O$36="выбери добор"</formula>
    </cfRule>
  </conditionalFormatting>
  <conditionalFormatting sqref="Z20">
    <cfRule type="cellIs" dxfId="168" priority="77" operator="equal">
      <formula>"ВЫБЕРИ нужную картинку"</formula>
    </cfRule>
  </conditionalFormatting>
  <conditionalFormatting sqref="Z4">
    <cfRule type="cellIs" dxfId="167" priority="76" operator="equal">
      <formula>"ВЫБЕРИ нужную картинку"</formula>
    </cfRule>
  </conditionalFormatting>
  <conditionalFormatting sqref="C4">
    <cfRule type="cellIs" dxfId="166" priority="75" operator="equal">
      <formula>"ВЫБЕРИ нужную картинку"</formula>
    </cfRule>
  </conditionalFormatting>
  <conditionalFormatting sqref="C20">
    <cfRule type="cellIs" dxfId="165" priority="74" operator="equal">
      <formula>"ВЫБЕРИ нужную картинку"</formula>
    </cfRule>
  </conditionalFormatting>
  <conditionalFormatting sqref="C36">
    <cfRule type="cellIs" dxfId="164" priority="73" operator="equal">
      <formula>"ВЫБЕРИ нужную картинку"</formula>
    </cfRule>
  </conditionalFormatting>
  <conditionalFormatting sqref="F27">
    <cfRule type="cellIs" dxfId="163" priority="72" operator="equal">
      <formula>"МДФ_без_молд"</formula>
    </cfRule>
  </conditionalFormatting>
  <conditionalFormatting sqref="S6">
    <cfRule type="expression" dxfId="162" priority="67" stopIfTrue="1">
      <formula>R6="Авт.Crit"</formula>
    </cfRule>
  </conditionalFormatting>
  <conditionalFormatting sqref="S22">
    <cfRule type="expression" dxfId="161" priority="66" stopIfTrue="1">
      <formula>R22="Авт.Crit"</formula>
    </cfRule>
  </conditionalFormatting>
  <conditionalFormatting sqref="S38">
    <cfRule type="expression" dxfId="160" priority="65" stopIfTrue="1">
      <formula>R38="Авт.Crit"</formula>
    </cfRule>
  </conditionalFormatting>
  <conditionalFormatting sqref="X8">
    <cfRule type="expression" dxfId="159" priority="63">
      <formula>Z8="- Выбери броню"</formula>
    </cfRule>
  </conditionalFormatting>
  <conditionalFormatting sqref="G11">
    <cfRule type="cellIs" dxfId="158" priority="62" operator="equal">
      <formula>"МДФ_без_молд"</formula>
    </cfRule>
  </conditionalFormatting>
  <conditionalFormatting sqref="P35:Q35">
    <cfRule type="cellIs" dxfId="157" priority="34" operator="equal">
      <formula>"выбор"</formula>
    </cfRule>
    <cfRule type="cellIs" dxfId="156" priority="35" operator="equal">
      <formula>0</formula>
    </cfRule>
    <cfRule type="cellIs" dxfId="155" priority="36" operator="equal">
      <formula>0</formula>
    </cfRule>
    <cfRule type="cellIs" dxfId="154" priority="37" operator="equal">
      <formula>0</formula>
    </cfRule>
    <cfRule type="cellIs" dxfId="153" priority="38" operator="equal">
      <formula>0</formula>
    </cfRule>
    <cfRule type="cellIs" dxfId="152" priority="39" operator="equal">
      <formula>0</formula>
    </cfRule>
  </conditionalFormatting>
  <conditionalFormatting sqref="P19:Q19">
    <cfRule type="cellIs" dxfId="151" priority="28" operator="equal">
      <formula>"выбор"</formula>
    </cfRule>
    <cfRule type="cellIs" dxfId="150" priority="29" operator="equal">
      <formula>0</formula>
    </cfRule>
    <cfRule type="cellIs" dxfId="149" priority="30" operator="equal">
      <formula>0</formula>
    </cfRule>
    <cfRule type="cellIs" dxfId="148" priority="31" operator="equal">
      <formula>0</formula>
    </cfRule>
    <cfRule type="cellIs" dxfId="147" priority="32" operator="equal">
      <formula>0</formula>
    </cfRule>
    <cfRule type="cellIs" dxfId="146" priority="33" operator="equal">
      <formula>0</formula>
    </cfRule>
  </conditionalFormatting>
  <conditionalFormatting sqref="P3:Q3">
    <cfRule type="cellIs" dxfId="145" priority="22" operator="equal">
      <formula>"выбор"</formula>
    </cfRule>
    <cfRule type="cellIs" dxfId="144" priority="23" operator="equal">
      <formula>0</formula>
    </cfRule>
    <cfRule type="cellIs" dxfId="143" priority="24" operator="equal">
      <formula>0</formula>
    </cfRule>
    <cfRule type="cellIs" dxfId="142" priority="25" operator="equal">
      <formula>0</formula>
    </cfRule>
    <cfRule type="cellIs" dxfId="141" priority="26" operator="equal">
      <formula>0</formula>
    </cfRule>
    <cfRule type="cellIs" dxfId="140" priority="27" operator="equal">
      <formula>0</formula>
    </cfRule>
  </conditionalFormatting>
  <conditionalFormatting sqref="G43">
    <cfRule type="cellIs" dxfId="139" priority="21" operator="equal">
      <formula>"МДФ_без_молд"</formula>
    </cfRule>
  </conditionalFormatting>
  <conditionalFormatting sqref="F43">
    <cfRule type="cellIs" dxfId="138" priority="20" operator="equal">
      <formula>"МДФ_без_молд"</formula>
    </cfRule>
  </conditionalFormatting>
  <conditionalFormatting sqref="V19">
    <cfRule type="cellIs" dxfId="137" priority="17" operator="lessThan">
      <formula>1</formula>
    </cfRule>
    <cfRule type="cellIs" dxfId="136" priority="18" operator="lessThan">
      <formula>1</formula>
    </cfRule>
    <cfRule type="cellIs" dxfId="135" priority="19" operator="equal">
      <formula>$V$3=""</formula>
    </cfRule>
  </conditionalFormatting>
  <conditionalFormatting sqref="X19">
    <cfRule type="cellIs" dxfId="134" priority="15" operator="lessThan">
      <formula>1</formula>
    </cfRule>
    <cfRule type="cellIs" dxfId="133" priority="16" operator="lessThan">
      <formula>1</formula>
    </cfRule>
  </conditionalFormatting>
  <conditionalFormatting sqref="V35">
    <cfRule type="cellIs" dxfId="132" priority="12" operator="lessThan">
      <formula>1</formula>
    </cfRule>
    <cfRule type="cellIs" dxfId="131" priority="13" operator="lessThan">
      <formula>1</formula>
    </cfRule>
    <cfRule type="cellIs" dxfId="130" priority="14" operator="equal">
      <formula>$V$3=""</formula>
    </cfRule>
  </conditionalFormatting>
  <conditionalFormatting sqref="X35">
    <cfRule type="cellIs" dxfId="129" priority="10" operator="lessThan">
      <formula>1</formula>
    </cfRule>
    <cfRule type="cellIs" dxfId="128" priority="11" operator="lessThan">
      <formula>1</formula>
    </cfRule>
  </conditionalFormatting>
  <conditionalFormatting sqref="N1">
    <cfRule type="colorScale" priority="9">
      <colorScale>
        <cfvo type="formula" val="$AD$2&gt;0"/>
        <cfvo type="max"/>
        <color rgb="FFFF7128"/>
        <color rgb="FFFFEF9C"/>
      </colorScale>
    </cfRule>
  </conditionalFormatting>
  <conditionalFormatting sqref="G7">
    <cfRule type="cellIs" dxfId="127" priority="4" operator="equal">
      <formula>$AD$2</formula>
    </cfRule>
    <cfRule type="cellIs" dxfId="126" priority="8" operator="equal">
      <formula>$AD$2</formula>
    </cfRule>
  </conditionalFormatting>
  <conditionalFormatting sqref="G23">
    <cfRule type="cellIs" dxfId="125" priority="5" operator="equal">
      <formula>$AD$18</formula>
    </cfRule>
    <cfRule type="cellIs" dxfId="124" priority="6" operator="equal">
      <formula>$AD$18</formula>
    </cfRule>
    <cfRule type="cellIs" dxfId="123" priority="7" operator="equal">
      <formula>$AD$18</formula>
    </cfRule>
  </conditionalFormatting>
  <conditionalFormatting sqref="G39">
    <cfRule type="cellIs" dxfId="122" priority="1" operator="equal">
      <formula>$AD$34</formula>
    </cfRule>
    <cfRule type="cellIs" dxfId="121" priority="2" operator="equal">
      <formula>$AD$2</formula>
    </cfRule>
    <cfRule type="cellIs" dxfId="120" priority="3" operator="equal">
      <formula>$AD$2</formula>
    </cfRule>
  </conditionalFormatting>
  <dataValidations xWindow="400" yWindow="906" count="76">
    <dataValidation type="list" allowBlank="1" showInputMessage="1" showErrorMessage="1" prompt="Выбор ручки" sqref="D24 D8 D40">
      <formula1>ручки</formula1>
    </dataValidation>
    <dataValidation type="list" allowBlank="1" showInputMessage="1" showErrorMessage="1" sqref="R3 R19 R35">
      <formula1>открывание</formula1>
    </dataValidation>
    <dataValidation type="list" allowBlank="1" showInputMessage="1" showErrorMessage="1" prompt="В моделях &quot;О&quot; нельзя выбирать &quot;внутренняя&quot;" sqref="X34 X2 X18">
      <formula1>"наружняя, внутренняя"</formula1>
    </dataValidation>
    <dataValidation allowBlank="1" showInputMessage="1" showErrorMessage="1" prompt="Выбор утеплителя" sqref="N20 N36"/>
    <dataValidation allowBlank="1" showInputMessage="1" showErrorMessage="1" prompt="Категория фрезеровки" sqref="R25 R9 R41 N9"/>
    <dataValidation type="list" allowBlank="1" showInputMessage="1" showErrorMessage="1" sqref="T18 T2">
      <formula1>"2-х конт., 3-х конт."</formula1>
    </dataValidation>
    <dataValidation type="list" allowBlank="1" showInputMessage="1" showErrorMessage="1" prompt="наличие портала. Ширина свыше 200 мм. считается отдельно" sqref="S27 S43 S11">
      <formula1>"портал:,   "</formula1>
    </dataValidation>
    <dataValidation allowBlank="1" showInputMessage="1" showErrorMessage="1" prompt="Наличие патины (только! для Винорита)" sqref="H5 H21 H37"/>
    <dataValidation type="list" allowBlank="1" showInputMessage="1" showErrorMessage="1" prompt="Выбор окна" sqref="D45 D29">
      <formula1>"Окно Подъезд.без решёт., Окно Подъездное+решёт., Окно Д без решётки,Окно Д с решёткой, Окно Е без решётки, Окно Е с решёткой, Окно Ч без решётки, Окно Ч с решёткой, Окно П без решётки"</formula1>
    </dataValidation>
    <dataValidation type="list" allowBlank="1" showInputMessage="1" showErrorMessage="1" prompt="Наличие геркона" sqref="S24 S40 S8">
      <formula1>"без геркона, Геркон"</formula1>
    </dataValidation>
    <dataValidation type="list" allowBlank="1" showInputMessage="1" showErrorMessage="1" prompt="наличие наличников к порталу" sqref="V12 V28 V44">
      <formula1>"без наличника, наличник"</formula1>
    </dataValidation>
    <dataValidation allowBlank="1" showInputMessage="1" showErrorMessage="1" prompt="ширина наличников" sqref="X44 X12 X28"/>
    <dataValidation allowBlank="1" showInputMessage="1" showErrorMessage="1" prompt="Длина ушей в мм. Например: 50_x000a_Отверстия в коробке - Д10._x000a_Возможна комбинация: 50+Д10" sqref="X21 X5 X37"/>
    <dataValidation allowBlank="1" showInputMessage="1" showErrorMessage="1" prompt="введите высоту портала" sqref="X43 X27 X11"/>
    <dataValidation allowBlank="1" showInputMessage="1" showErrorMessage="1" prompt="введите ширину портала" sqref="V43 V27 V11"/>
    <dataValidation type="list" allowBlank="1" showInputMessage="1" showErrorMessage="1" prompt="Наличие патины только! для гр.3 (Винорит)" sqref="P44 P12 P28 P42 P26 P10">
      <formula1>"Патина"</formula1>
    </dataValidation>
    <dataValidation type="list" allowBlank="1" showInputMessage="1" showErrorMessage="1" prompt="выбор доводчика" sqref="I8 I24 I40">
      <formula1>"Доводчик"</formula1>
    </dataValidation>
    <dataValidation type="list" allowBlank="1" showInputMessage="1" showErrorMessage="1" prompt="Выбор вариантов 2-ух створок" sqref="S36">
      <formula1>"2-х створ."</formula1>
    </dataValidation>
    <dataValidation type="list" allowBlank="1" showInputMessage="1" showErrorMessage="1" prompt="Наименование фрезеровки" sqref="P41 P25 P43 P9 P27 P11">
      <formula1>INDIRECT($L9)</formula1>
    </dataValidation>
    <dataValidation type="list" allowBlank="1" showInputMessage="1" showErrorMessage="1" prompt="Наименование плёнки по БЕЛКРАФТУ" sqref="I10:N10 I28 I44:N44 I42 I26 I12:N12">
      <formula1>INDIRECT($F10)</formula1>
    </dataValidation>
    <dataValidation type="list" allowBlank="1" showInputMessage="1" showErrorMessage="1" prompt="ввод цвета краски" sqref="X25 X9 X41">
      <formula1>INDIRECT($U9)</formula1>
    </dataValidation>
    <dataValidation type="list" allowBlank="1" showInputMessage="1" showErrorMessage="1" prompt="Цвет патины" sqref="T28">
      <formula1>INDIRECT($O28)</formula1>
    </dataValidation>
    <dataValidation type="list" allowBlank="1" showInputMessage="1" showErrorMessage="1" sqref="X38 X22 X6">
      <formula1>INDIRECT($V6)</formula1>
    </dataValidation>
    <dataValidation allowBlank="1" showInputMessage="1" showErrorMessage="1" prompt="Натменование фрезеровки" sqref="R11 R27 R43"/>
    <dataValidation type="list" allowBlank="1" showInputMessage="1" showErrorMessage="1" prompt="Категория материала" sqref="G9 G41 G25">
      <formula1>INDIRECT($M2)</formula1>
    </dataValidation>
    <dataValidation type="list" allowBlank="1" showInputMessage="1" showErrorMessage="1" promptTitle="выбор наличия накладки" prompt="только для М-0, М-1, М-2" sqref="P13 P29 P45">
      <formula1>"накладка, пробивка"</formula1>
    </dataValidation>
    <dataValidation type="list" allowBlank="1" showInputMessage="1" showErrorMessage="1" prompt="Категория фрезеровки" sqref="M11 M27 M43">
      <formula1>INDIRECT($H11)</formula1>
    </dataValidation>
    <dataValidation type="list" allowBlank="1" showInputMessage="1" showErrorMessage="1" sqref="V34 V18">
      <formula1>"2 петли, 3 петли, 2 скрыт."</formula1>
    </dataValidation>
    <dataValidation type="list" allowBlank="1" showInputMessage="1" showErrorMessage="1" prompt="Выбор типа накладки" sqref="S29 S45 S13">
      <formula1>INDIRECT($P13)</formula1>
    </dataValidation>
    <dataValidation type="list" allowBlank="1" showInputMessage="1" showErrorMessage="1" sqref="V29 V45 V13">
      <formula1>INDIRECT(U13)</formula1>
    </dataValidation>
    <dataValidation type="list" allowBlank="1" showInputMessage="1" showErrorMessage="1" sqref="X29 X45 X13">
      <formula1>INDIRECT(V13)</formula1>
    </dataValidation>
    <dataValidation type="list" allowBlank="1" showInputMessage="1" showErrorMessage="1" prompt="выбор молдинга из нержавейки" sqref="K45 K13 K29">
      <formula1>"вставка из н/с"</formula1>
    </dataValidation>
    <dataValidation type="list" allowBlank="1" showInputMessage="1" showErrorMessage="1" promptTitle="Поворот" prompt="металлического наличника. ТОЛЬКО! цифровое обозначение" sqref="Q5 Q21 T5 N5 T21 N21 Q37 T37 N37">
      <formula1>"90 гр."</formula1>
    </dataValidation>
    <dataValidation type="list" allowBlank="1" showInputMessage="1" showErrorMessage="1" prompt="Цвет ручки" sqref="G8 G24 G40">
      <formula1>INDIRECT($B8)</formula1>
    </dataValidation>
    <dataValidation type="list" allowBlank="1" showInputMessage="1" showErrorMessage="1" sqref="AC33 AC17 AC1">
      <formula1>"курс ="</formula1>
    </dataValidation>
    <dataValidation type="list" allowBlank="1" showInputMessage="1" showErrorMessage="1" promptTitle="Выбор толщины металла полотна" prompt="1,0 мм. для М-3 - нельзя!" sqref="P2 P18 P34">
      <formula1>INDIRECT(L2)</formula1>
    </dataValidation>
    <dataValidation type="list" allowBlank="1" showInputMessage="1" showErrorMessage="1" error="ОШИБКА" prompt="Выбор накладки на порог" sqref="G13 G29 G45">
      <formula1>"накладка из Н/С"</formula1>
    </dataValidation>
    <dataValidation type="list" allowBlank="1" showInputMessage="1" showErrorMessage="1" promptTitle="Двухцветная коробка" prompt="Разрешено ТОЛЬКО! _x000a_на О-2; М-1; М-2; М-3" sqref="S25 S9 S41">
      <formula1>"Одноцвет., ДВУХ-ЦВЕТ"</formula1>
    </dataValidation>
    <dataValidation type="list" allowBlank="1" showInputMessage="1" showErrorMessage="1" sqref="H38">
      <formula1>"без терморазрыва, ТЕРМОРАЗРЫВ"</formula1>
    </dataValidation>
    <dataValidation type="list" allowBlank="1" showInputMessage="1" showErrorMessage="1" sqref="X7 X23 X39">
      <formula1>INDIRECT(U7)</formula1>
    </dataValidation>
    <dataValidation type="list" allowBlank="1" showInputMessage="1" showErrorMessage="1" sqref="V2">
      <formula1>"2 петли, 3 петли, 3 скрыт."</formula1>
    </dataValidation>
    <dataValidation type="list" allowBlank="1" showInputMessage="1" showErrorMessage="1" sqref="G5 G21 G37">
      <formula1>"Капитель_"</formula1>
    </dataValidation>
    <dataValidation type="list" allowBlank="1" showInputMessage="1" showErrorMessage="1" prompt="наличие наличника МДФ" sqref="I37 I21">
      <formula1>INDIRECT(F21)</formula1>
    </dataValidation>
    <dataValidation type="list" allowBlank="1" showInputMessage="1" showErrorMessage="1" prompt="Выбор наличия задвижки" sqref="P24">
      <formula1>INDIRECT($M$24)</formula1>
    </dataValidation>
    <dataValidation type="list" allowBlank="1" showInputMessage="1" showErrorMessage="1" prompt="Выбор наличия задвижки" sqref="P40">
      <formula1>INDIRECT($M$40)</formula1>
    </dataValidation>
    <dataValidation type="list" allowBlank="1" showInputMessage="1" showErrorMessage="1" prompt="Выбор наличия задвижки" sqref="P8">
      <formula1>INDIRECT($M$8)</formula1>
    </dataValidation>
    <dataValidation type="list" allowBlank="1" showInputMessage="1" showErrorMessage="1" promptTitle="наличие наличника МДФ" prompt="Найс -только винорит и окраска" sqref="I5">
      <formula1>INDIRECT(F5)</formula1>
    </dataValidation>
    <dataValidation type="list" allowBlank="1" showInputMessage="1" showErrorMessage="1" prompt="Категория фрезеровки" sqref="M25:N25 M41:N41 M9">
      <formula1>INDIRECT($J9)</formula1>
    </dataValidation>
    <dataValidation type="list" allowBlank="1" showInputMessage="1" showErrorMessage="1" prompt="При выборе лазерной резки (ТОЛЬКО!!! для М-0,М-1,М-2), выберите &quot;ЛАЗЕР&quot;" sqref="K9 K25 K41">
      <formula1>"ЛАЗЕР"</formula1>
    </dataValidation>
    <dataValidation type="list" allowBlank="1" showInputMessage="1" showErrorMessage="1" prompt="выбор цилиндра" sqref="V7 V23 V39">
      <formula1>INDIRECT(T7)</formula1>
    </dataValidation>
    <dataValidation type="list" allowBlank="1" showInputMessage="1" showErrorMessage="1" promptTitle="Выбор шторки" prompt="DP-12 и Kale 189 MR не совместимы; Авт.Crit не ставится на МДФ и Фанеру" sqref="S38">
      <formula1>INDIRECT(U38)</formula1>
    </dataValidation>
    <dataValidation type="list" allowBlank="1" showInputMessage="1" showErrorMessage="1" prompt="Для выбора Брони, ручки должны быть розетками" sqref="X40 X24 X8">
      <formula1>INDIRECT($V8)</formula1>
    </dataValidation>
    <dataValidation type="list" allowBlank="1" showInputMessage="1" showErrorMessage="1" promptTitle="Выбор ручки" prompt="Ручки Р001 и Порошок с выбором брони не совместимы" sqref="C8 C24 C40">
      <formula1>INDIRECT(A8)</formula1>
    </dataValidation>
    <dataValidation type="list" allowBlank="1" showInputMessage="1" showErrorMessage="1" promptTitle="Выбор накладки" prompt="DP-11 с Бронёй, Kale-155, ручками Р001 и &quot;Порошок&quot; НЕ ВЫБИРАЕТСЯ !!!" sqref="S7 S23 S39">
      <formula1>INDIRECT(R7)</formula1>
    </dataValidation>
    <dataValidation type="list" allowBlank="1" showInputMessage="1" showErrorMessage="1" promptTitle="Выбор окна" prompt="Д и Е - только при наличии внутреннего щита МДФ. Патина и её цвет вносится в Примечание" sqref="C13 C29 C45">
      <formula1>INDIRECT($B$13)</formula1>
    </dataValidation>
    <dataValidation type="list" allowBlank="1" showInputMessage="1" showErrorMessage="1" prompt="Выбор утеплителя" sqref="M4 M20 M36">
      <formula1>INDIRECT(L4)</formula1>
    </dataValidation>
    <dataValidation allowBlank="1" showInputMessage="1" showErrorMessage="1" prompt="Выбор вариантов 2-ух створок" sqref="S20"/>
    <dataValidation type="list" allowBlank="1" showInputMessage="1" showErrorMessage="1" sqref="P1 P17 P33">
      <formula1>"01,02,03,04,05,06,07"</formula1>
    </dataValidation>
    <dataValidation type="list" allowBlank="1" showInputMessage="1" showErrorMessage="1" promptTitle="выбор упаковки" prompt="Картон+ - картон с пузырьковой плёнкой" sqref="V15 V31 V47">
      <formula1>"стрейч + пенопласт, картон + пенопласт, Картон +"</formula1>
    </dataValidation>
    <dataValidation type="list" allowBlank="1" showInputMessage="1" showErrorMessage="1" promptTitle="Schlegel на &quot;О&quot; не ставится !!!," prompt="Schlegel на 3-х контур. ставится только на одном контуре!" sqref="I4 I20 I36">
      <formula1>"резиновый, Schlegel, Пожарка"</formula1>
    </dataValidation>
    <dataValidation type="list" allowBlank="1" showInputMessage="1" showErrorMessage="1" prompt="выбор стороны открывания" sqref="P3:Q3 P19:Q19 P35:Q35">
      <formula1>"правая, левая, выбор"</formula1>
    </dataValidation>
    <dataValidation type="list" allowBlank="1" showInputMessage="1" showErrorMessage="1" prompt="ввод наименования краски" sqref="V9 V25 V41">
      <formula1>"Шагрень, Муар, Шёлк, Антик"</formula1>
    </dataValidation>
    <dataValidation type="list" allowBlank="1" showInputMessage="1" showErrorMessage="1" prompt="Выбор параметра материала" sqref="G10">
      <formula1>INDIRECT($E$10)</formula1>
    </dataValidation>
    <dataValidation type="list" allowBlank="1" showInputMessage="1" showErrorMessage="1" prompt="Выбор параметра материала" sqref="G26">
      <formula1>INDIRECT($E$26)</formula1>
    </dataValidation>
    <dataValidation type="list" allowBlank="1" showInputMessage="1" showErrorMessage="1" prompt="Выбор параметра материала" sqref="G28">
      <formula1>INDIRECT($E$28)</formula1>
    </dataValidation>
    <dataValidation type="list" allowBlank="1" showInputMessage="1" showErrorMessage="1" prompt="Выбор параметра материала" sqref="G42">
      <formula1>INDIRECT($E$42)</formula1>
    </dataValidation>
    <dataValidation type="list" allowBlank="1" showInputMessage="1" showErrorMessage="1" prompt="Выбор параметра материала" sqref="G44">
      <formula1>INDIRECT($E$44)</formula1>
    </dataValidation>
    <dataValidation type="list" allowBlank="1" showInputMessage="1" showErrorMessage="1" prompt="Выбор параметра материала" sqref="G12">
      <formula1>INDIRECT($E$12)</formula1>
    </dataValidation>
    <dataValidation type="list" allowBlank="1" showInputMessage="1" showErrorMessage="1" promptTitle="наличие грунта" prompt="Силикон - Просиликонивание сварных швов + покраска полотна внутри" sqref="V10:X10 V26:X26 V42:X42">
      <formula1>"Грунт-полимер, Силикон, Грунт+Силикон, Грунт СФ, СФ+Силикон"</formula1>
    </dataValidation>
    <dataValidation type="list" allowBlank="1" showInputMessage="1" showErrorMessage="1" prompt="Цвет патины" sqref="S12 S10 S26 S28 S44 S42">
      <formula1>INDIRECT($P10)</formula1>
    </dataValidation>
    <dataValidation type="whole" allowBlank="1" showInputMessage="1" showErrorMessage="1" prompt="вылет металлического наличника ТОЛЬКО! цифровое обозначение" sqref="M5 S5 M21 S21 M37 S37">
      <formula1>0</formula1>
      <formula2>300</formula2>
    </dataValidation>
    <dataValidation type="whole" allowBlank="1" showInputMessage="1" showErrorMessage="1" prompt="вылет металлического наличника ТОЛЬКО! цифровое обозначение" sqref="P37">
      <formula1>0</formula1>
      <formula2>600</formula2>
    </dataValidation>
    <dataValidation allowBlank="1" showInputMessage="1" showErrorMessage="1" promptTitle="ввод высоты по коробке" prompt="стандарт: 2050_x000a_макс. для &quot;О&quot; - 2100_x000a_          для &quot;М&quot; - 2400" sqref="X3 X19 X35"/>
    <dataValidation allowBlank="1" showInputMessage="1" showErrorMessage="1" promptTitle="ввод ширины по коробке" prompt="стандарт: 860; 960_x000a_макс. для &quot;М&quot; и &quot;О_0&quot; - 1080;_x000a_                 &quot;О_1&quot;,&quot;О_2&quot; - 960_x000a_                  " sqref="V3 V19 V35"/>
    <dataValidation type="list" allowBlank="1" showInputMessage="1" showErrorMessage="1" promptTitle="Выбор шторки" prompt="DP-12 и Kale 189 MR не совместимы; Авт.Crit не ставится на МДФ и Фанеру" sqref="S6 S22">
      <formula1>INDIRECT(U6)</formula1>
    </dataValidation>
    <dataValidation type="whole" allowBlank="1" showInputMessage="1" showErrorMessage="1" prompt="вылет металлического наличника ТОЛЬКО! цифровое обозначение" sqref="P5 P21">
      <formula1>0</formula1>
      <formula2>600</formula2>
    </dataValidation>
  </dataValidations>
  <hyperlinks>
    <hyperlink ref="AC20" r:id="rId1" display="https://xn--80akudsge.xn--90ais/konstruktor"/>
    <hyperlink ref="AC36" r:id="rId2" display="https://xn--80akudsge.xn--90ais/konstruktor"/>
    <hyperlink ref="AC4" r:id="rId3" display="https://xn--80akudsge.xn--90ais/konstruktor"/>
  </hyperlinks>
  <pageMargins left="3.937007874015748E-2" right="3.937007874015748E-2" top="3.937007874015748E-2" bottom="3.937007874015748E-2" header="0" footer="0"/>
  <pageSetup paperSize="9" scale="67" orientation="portrait" r:id="rId4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7" name="List Box 1">
              <controlPr defaultSize="0" print="0" autoLine="0" autoPict="0">
                <anchor>
                  <from>
                    <xdr:col>26</xdr:col>
                    <xdr:colOff>819150</xdr:colOff>
                    <xdr:row>5</xdr:row>
                    <xdr:rowOff>123825</xdr:rowOff>
                  </from>
                  <to>
                    <xdr:col>30</xdr:col>
                    <xdr:colOff>209550</xdr:colOff>
                    <xdr:row>11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16" r:id="rId8" name="List Box 644">
              <controlPr defaultSize="0" print="0" autoLine="0" autoPict="0">
                <anchor>
                  <from>
                    <xdr:col>26</xdr:col>
                    <xdr:colOff>952500</xdr:colOff>
                    <xdr:row>21</xdr:row>
                    <xdr:rowOff>123825</xdr:rowOff>
                  </from>
                  <to>
                    <xdr:col>30</xdr:col>
                    <xdr:colOff>400050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17" r:id="rId9" name="List Box 645">
              <controlPr defaultSize="0" print="0" autoLine="0" autoPict="0">
                <anchor>
                  <from>
                    <xdr:col>26</xdr:col>
                    <xdr:colOff>1047750</xdr:colOff>
                    <xdr:row>37</xdr:row>
                    <xdr:rowOff>85725</xdr:rowOff>
                  </from>
                  <to>
                    <xdr:col>30</xdr:col>
                    <xdr:colOff>514350</xdr:colOff>
                    <xdr:row>43</xdr:row>
                    <xdr:rowOff>228600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1" operator="containsText" id="{DF1AD929-8F3D-4229-B6CE-1CF1037CBF7B}">
            <xm:f>NOT(ISERROR(SEARCH("Рис.!!!",X20)))</xm:f>
            <xm:f>"Рис.!!!"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X20</xm:sqref>
        </x14:conditionalFormatting>
        <x14:conditionalFormatting xmlns:xm="http://schemas.microsoft.com/office/excel/2006/main">
          <x14:cfRule type="containsText" priority="97" operator="containsText" id="{1FA1448C-B394-49F2-A982-BF786918DC28}">
            <xm:f>NOT(ISERROR(SEARCH("Рис.!!!",X4)))</xm:f>
            <xm:f>"Рис.!!!"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X4</xm:sqref>
        </x14:conditionalFormatting>
        <x14:conditionalFormatting xmlns:xm="http://schemas.microsoft.com/office/excel/2006/main">
          <x14:cfRule type="containsText" priority="96" operator="containsText" id="{4E2C2292-B091-4EE3-A69D-B61039704F82}">
            <xm:f>NOT(ISERROR(SEARCH("Рис.!!!",X36)))</xm:f>
            <xm:f>"Рис.!!!"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X36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400" yWindow="906" count="30">
        <x14:dataValidation type="list" allowBlank="1" showInputMessage="1" showErrorMessage="1">
          <x14:formula1>
            <xm:f>дверь!$A$28:$A$30</xm:f>
          </x14:formula1>
          <xm:sqref>G3 G19 G35</xm:sqref>
        </x14:dataValidation>
        <x14:dataValidation type="list" allowBlank="1" showInputMessage="1" showErrorMessage="1" promptTitle="ВЫБЕРИТЕ!" prompt="Модель двери согласно прайса">
          <x14:formula1>
            <xm:f>Цена!$D$3:$K$3</xm:f>
          </x14:formula1>
          <xm:sqref>M2:N2</xm:sqref>
        </x14:dataValidation>
        <x14:dataValidation type="list" allowBlank="1" showInputMessage="1" showErrorMessage="1" promptTitle="Выбор нижнего замка" prompt="Апекс Т-52 и Кале-252 - только! при выборе ручки-розетка или аналога!_x000a_Домофон Только для М-0, М-1!">
          <x14:formula1>
            <xm:f>INDIRECT(Фурнитура!$B$50)</xm:f>
          </x14:formula1>
          <xm:sqref>P7</xm:sqref>
        </x14:dataValidation>
        <x14:dataValidation type="list" allowBlank="1" showInputMessage="1" showErrorMessage="1" promptTitle="Kale 189 MR с бронёй запрещено" prompt="Эльборы не совместимы с бронёй, наружними МДФ и МДФ-16 внутри">
          <x14:formula1>
            <xm:f>INDIRECT(Фурнитура!$B$5)</xm:f>
          </x14:formula1>
          <xm:sqref>P6</xm:sqref>
        </x14:dataValidation>
        <x14:dataValidation type="list" allowBlank="1" showInputMessage="1" showErrorMessage="1" promptTitle="Kale 189 MR с бронёй запрещено" prompt="Эльборы не совместимы с бронёй, наружними МДФ и МДФ-16 внутри">
          <x14:formula1>
            <xm:f>INDIRECT(Фурнитура!$D$5)</xm:f>
          </x14:formula1>
          <xm:sqref>P22</xm:sqref>
        </x14:dataValidation>
        <x14:dataValidation type="list" allowBlank="1" showInputMessage="1" showErrorMessage="1" promptTitle="Kale 189 MR с бронёй запрещено" prompt="Эльборы не совместимы с бронёй, наружними МДФ и МДФ-16 внутри">
          <x14:formula1>
            <xm:f>INDIRECT(Фурнитура!$F$5)</xm:f>
          </x14:formula1>
          <xm:sqref>P38</xm:sqref>
        </x14:dataValidation>
        <x14:dataValidation type="list" allowBlank="1" showInputMessage="1" showErrorMessage="1" promptTitle="Выбор нижнего замка" prompt="Апекс Т-52 и Кале-252 - только! при выборе ручки-розетка или аналога!_x000a_Домофон Только для М-0, М-1!">
          <x14:formula1>
            <xm:f>INDIRECT(Фурнитура!$F$50)</xm:f>
          </x14:formula1>
          <xm:sqref>P39</xm:sqref>
        </x14:dataValidation>
        <x14:dataValidation type="list" allowBlank="1" showInputMessage="1" showErrorMessage="1" promptTitle="Выбор нижнего замка" prompt="Апекс Т-52 и Кале-252 - только! при выборе ручки-розетка или аналога!_x000a_Домофон Только для М-0, М-1!">
          <x14:formula1>
            <xm:f>INDIRECT(Фурнитура!$D$50)</xm:f>
          </x14:formula1>
          <xm:sqref>P23</xm:sqref>
        </x14:dataValidation>
        <x14:dataValidation type="list" allowBlank="1" showInputMessage="1" showErrorMessage="1" promptTitle="ВЫБЕРИТЕ!" prompt="Модель двери согласно прайса">
          <x14:formula1>
            <xm:f>Цена!$D$3:$J$3</xm:f>
          </x14:formula1>
          <xm:sqref>M18:N18 M34:N34</xm:sqref>
        </x14:dataValidation>
        <x14:dataValidation type="list" allowBlank="1" showInputMessage="1" showErrorMessage="1" prompt="Выбор параметра материала">
          <x14:formula1>
            <xm:f>INDIRECT('Отделка, таб.'!$D$4)</xm:f>
          </x14:formula1>
          <xm:sqref>I9</xm:sqref>
        </x14:dataValidation>
        <x14:dataValidation type="list" allowBlank="1" showInputMessage="1" showErrorMessage="1" prompt="Выбор параметра материала">
          <x14:formula1>
            <xm:f>INDIRECT('Отделка, таб.'!$H$4)</xm:f>
          </x14:formula1>
          <xm:sqref>I41</xm:sqref>
        </x14:dataValidation>
        <x14:dataValidation type="list" allowBlank="1" showInputMessage="1" showErrorMessage="1" prompt="Выбор параметра материала">
          <x14:formula1>
            <xm:f>INDIRECT('Отделка, таб.'!$F$4)</xm:f>
          </x14:formula1>
          <xm:sqref>I25</xm:sqref>
        </x14:dataValidation>
        <x14:dataValidation type="list" allowBlank="1" showInputMessage="1" showErrorMessage="1" prompt="Выбор параметра материала">
          <x14:formula1>
            <xm:f>INDIRECT('Отделка, таб.'!$H$26)</xm:f>
          </x14:formula1>
          <xm:sqref>I43</xm:sqref>
        </x14:dataValidation>
        <x14:dataValidation type="list" allowBlank="1" showInputMessage="1" showErrorMessage="1" prompt="Выбор параметра материала">
          <x14:formula1>
            <xm:f>INDIRECT('Отделка, таб.'!$D$26)</xm:f>
          </x14:formula1>
          <xm:sqref>I11</xm:sqref>
        </x14:dataValidation>
        <x14:dataValidation type="list" allowBlank="1" showInputMessage="1" showErrorMessage="1" prompt="Выбор параметра материала">
          <x14:formula1>
            <xm:f>INDIRECT('Отделка, таб.'!$F$26)</xm:f>
          </x14:formula1>
          <xm:sqref>I27</xm:sqref>
        </x14:dataValidation>
        <x14:dataValidation type="list" allowBlank="1" showInputMessage="1" showErrorMessage="1" prompt="Категория материала">
          <x14:formula1>
            <xm:f>INDIRECT(материалы!$B$65)</xm:f>
          </x14:formula1>
          <xm:sqref>G11</xm:sqref>
        </x14:dataValidation>
        <x14:dataValidation type="list" allowBlank="1" showInputMessage="1" showErrorMessage="1" prompt="Категория материала">
          <x14:formula1>
            <xm:f>INDIRECT(материалы!$D$65)</xm:f>
          </x14:formula1>
          <xm:sqref>G27</xm:sqref>
        </x14:dataValidation>
        <x14:dataValidation type="list" allowBlank="1" showInputMessage="1" showErrorMessage="1" promptTitle="ПКТ только для О-2; М-2, М-3" prompt="ПКТ (пониж-й коэф-т теплопров-ти) Только для НАРУЖНИХ (ДН СГ)!!!_x000a_Верхний замок при ПКТ-Апекс Т-57, или Kale 257 (L-R)_x000a_Нижний замок при ПКТ:_x000a_Апекс Т-52 или Kale 252 R_x000a__x000a_Внутренний щит МДФ только 16мм._x000a_">
          <x14:formula1>
            <xm:f>INDIRECT(материалы!$B$66)</xm:f>
          </x14:formula1>
          <xm:sqref>G6</xm:sqref>
        </x14:dataValidation>
        <x14:dataValidation type="list" allowBlank="1" showInputMessage="1" showErrorMessage="1" promptTitle="3 контура - ТОЛЬКО для М-2 - М-3" prompt="ТОЛЬКО на одностворчатых!!!">
          <x14:formula1>
            <xm:f>INDIRECT(материалы!$I$62)</xm:f>
          </x14:formula1>
          <xm:sqref>S34</xm:sqref>
        </x14:dataValidation>
        <x14:dataValidation type="list" allowBlank="1" showInputMessage="1" showErrorMessage="1" promptTitle="3 контура - ТОЛЬКО для М-2 - М-3" prompt="ТОЛЬКО на одностворчатых!!!">
          <x14:formula1>
            <xm:f>INDIRECT(материалы!$H$62)</xm:f>
          </x14:formula1>
          <xm:sqref>S18</xm:sqref>
        </x14:dataValidation>
        <x14:dataValidation type="list" allowBlank="1" showInputMessage="1" showErrorMessage="1" promptTitle="3 контура - ТОЛЬКО для М-2 - М-3" prompt="ТОЛЬКО на одностворчатых!!!">
          <x14:formula1>
            <xm:f>INDIRECT(материалы!$F$44)</xm:f>
          </x14:formula1>
          <xm:sqref>S2</xm:sqref>
        </x14:dataValidation>
        <x14:dataValidation type="list" allowBlank="1" showInputMessage="1" showErrorMessage="1">
          <x14:formula1>
            <xm:f>'Плёнка ПДТ'!$R$6:$U$6</xm:f>
          </x14:formula1>
          <xm:sqref>E10</xm:sqref>
        </x14:dataValidation>
        <x14:dataValidation type="list" allowBlank="1" showInputMessage="1" showErrorMessage="1">
          <x14:formula1>
            <xm:f>'Плёнка ПДТ'!$R$6:$U$6</xm:f>
          </x14:formula1>
          <xm:sqref>E12</xm:sqref>
        </x14:dataValidation>
        <x14:dataValidation type="list" allowBlank="1" showInputMessage="1" showErrorMessage="1">
          <x14:formula1>
            <xm:f>'Плёнка ПДТ'!$R$6:$U$6</xm:f>
          </x14:formula1>
          <xm:sqref>E26</xm:sqref>
        </x14:dataValidation>
        <x14:dataValidation type="list" allowBlank="1" showInputMessage="1" showErrorMessage="1">
          <x14:formula1>
            <xm:f>'Плёнка ПДТ'!$R$6:$U$6</xm:f>
          </x14:formula1>
          <xm:sqref>E28</xm:sqref>
        </x14:dataValidation>
        <x14:dataValidation type="list" allowBlank="1" showInputMessage="1" showErrorMessage="1">
          <x14:formula1>
            <xm:f>'Плёнка ПДТ'!$R$6:$U$6</xm:f>
          </x14:formula1>
          <xm:sqref>E42</xm:sqref>
        </x14:dataValidation>
        <x14:dataValidation type="list" allowBlank="1" showInputMessage="1" showErrorMessage="1">
          <x14:formula1>
            <xm:f>'Плёнка ПДТ'!$R$6:$U$6</xm:f>
          </x14:formula1>
          <xm:sqref>E44</xm:sqref>
        </x14:dataValidation>
        <x14:dataValidation type="list" allowBlank="1" showInputMessage="1" showErrorMessage="1" promptTitle="ПКТ только для О-2; М-2, М-3" prompt="ПКТ (пониж-й коэф-т теплопров-ти) Только для НАРУЖНИХ (ДН СГ)!!!_x000a_Верхний замок при ПКТ-Апекс Т-57, или Kale 257 (L-R)_x000a_Нижний замок при ПКТ:_x000a_Апекс Т-52 или Kale 252 R_x000a__x000a_Внутренний щит МДФ только 16мм._x000a_">
          <x14:formula1>
            <xm:f>INDIRECT(материалы!$D$66)</xm:f>
          </x14:formula1>
          <xm:sqref>G22</xm:sqref>
        </x14:dataValidation>
        <x14:dataValidation type="list" allowBlank="1" showInputMessage="1" showErrorMessage="1" promptTitle="ПКТ только для О-2; М-2, М-3" prompt="ПКТ (пониж-й коэф-т теплопров-ти) Только для НАРУЖНИХ (ДН СГ)!!!_x000a_Верхний замок при ПКТ-Апекс Т-57, или Kale 257 (L-R)_x000a_Нижний замок при ПКТ:_x000a_Апекс Т-52 или Kale 252 R_x000a__x000a_Внутренний щит МДФ только 16мм._x000a_">
          <x14:formula1>
            <xm:f>INDIRECT(материалы!$F$66)</xm:f>
          </x14:formula1>
          <xm:sqref>G38</xm:sqref>
        </x14:dataValidation>
        <x14:dataValidation type="list" allowBlank="1" showInputMessage="1" showErrorMessage="1" prompt="Категория материала">
          <x14:formula1>
            <xm:f>INDIRECT(материалы!$F$65)</xm:f>
          </x14:formula1>
          <xm:sqref>G43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21"/>
  <sheetViews>
    <sheetView workbookViewId="0">
      <pane xSplit="1" ySplit="15" topLeftCell="B149" activePane="bottomRight" state="frozen"/>
      <selection pane="topRight" activeCell="B1" sqref="B1"/>
      <selection pane="bottomLeft" activeCell="A4" sqref="A4"/>
      <selection pane="bottomRight" activeCell="D3" sqref="D3"/>
    </sheetView>
  </sheetViews>
  <sheetFormatPr defaultRowHeight="15"/>
  <cols>
    <col min="1" max="1" width="32.7109375" style="39" bestFit="1" customWidth="1"/>
    <col min="2" max="3" width="4.42578125" style="39" customWidth="1"/>
    <col min="4" max="4" width="19.28515625" customWidth="1"/>
    <col min="5" max="5" width="10.28515625" bestFit="1" customWidth="1"/>
    <col min="6" max="6" width="12.7109375" customWidth="1"/>
    <col min="7" max="7" width="8.42578125" customWidth="1"/>
    <col min="8" max="8" width="9.85546875" bestFit="1" customWidth="1"/>
    <col min="9" max="16" width="9.85546875" style="39" customWidth="1"/>
    <col min="18" max="19" width="9.85546875" style="39" customWidth="1"/>
    <col min="20" max="20" width="11.42578125" style="39" customWidth="1"/>
    <col min="21" max="21" width="12.7109375" style="39" customWidth="1"/>
    <col min="22" max="22" width="12.85546875" style="39" customWidth="1"/>
    <col min="23" max="23" width="11.85546875" style="39" customWidth="1"/>
    <col min="24" max="24" width="3.5703125" customWidth="1"/>
    <col min="25" max="25" width="29.42578125" bestFit="1" customWidth="1"/>
    <col min="26" max="26" width="13.7109375" customWidth="1"/>
    <col min="27" max="27" width="16.85546875" customWidth="1"/>
    <col min="28" max="28" width="8.28515625" customWidth="1"/>
    <col min="29" max="29" width="7.85546875" customWidth="1"/>
    <col min="30" max="30" width="10.28515625" customWidth="1"/>
    <col min="31" max="31" width="10.140625" customWidth="1"/>
    <col min="32" max="32" width="10.28515625" customWidth="1"/>
    <col min="33" max="33" width="7.85546875" customWidth="1"/>
    <col min="34" max="34" width="7.42578125" customWidth="1"/>
    <col min="35" max="35" width="7.7109375" customWidth="1"/>
    <col min="36" max="36" width="8.28515625" customWidth="1"/>
  </cols>
  <sheetData>
    <row r="1" spans="1:23" s="39" customFormat="1">
      <c r="C1" s="336" t="s">
        <v>1356</v>
      </c>
      <c r="D1" s="4" t="s">
        <v>1357</v>
      </c>
      <c r="E1" s="4" t="s">
        <v>1358</v>
      </c>
      <c r="I1" s="336" t="s">
        <v>1356</v>
      </c>
      <c r="J1" s="4" t="s">
        <v>1357</v>
      </c>
      <c r="K1" s="4" t="s">
        <v>1358</v>
      </c>
      <c r="N1" s="336" t="s">
        <v>1356</v>
      </c>
      <c r="O1" s="4" t="s">
        <v>1357</v>
      </c>
      <c r="P1" s="4" t="s">
        <v>1358</v>
      </c>
    </row>
    <row r="2" spans="1:23" s="39" customFormat="1">
      <c r="A2" s="44" t="s">
        <v>1628</v>
      </c>
      <c r="D2" s="43">
        <f>2500-45*2</f>
        <v>2410</v>
      </c>
      <c r="E2" s="43">
        <f>1400-45*2</f>
        <v>1310</v>
      </c>
      <c r="J2" s="43">
        <f>D2</f>
        <v>2410</v>
      </c>
      <c r="K2" s="43">
        <f>E2</f>
        <v>1310</v>
      </c>
      <c r="O2" s="43">
        <f>D2</f>
        <v>2410</v>
      </c>
      <c r="P2" s="43">
        <f>E2</f>
        <v>1310</v>
      </c>
    </row>
    <row r="3" spans="1:23" s="39" customFormat="1">
      <c r="A3" s="805">
        <v>1</v>
      </c>
      <c r="D3" s="43">
        <f>(Бланк!X3-70)+100+(Бланк!O5+30)+60</f>
        <v>170</v>
      </c>
      <c r="E3" s="43">
        <f>(Бланк!U3-70)+100+(Бланк!L5+30)+60+(Бланк!R5+30)+60</f>
        <v>1110</v>
      </c>
      <c r="J3" s="43">
        <f>(Бланк!X19-70)+100+(Бланк!O21+30)+60</f>
        <v>170</v>
      </c>
      <c r="K3" s="43">
        <f>(Бланк!U19-70)+100+(Бланк!L21+30)+60+(Бланк!R21+30)+60</f>
        <v>1110</v>
      </c>
      <c r="O3" s="43">
        <f>(Бланк!X35-70)+100+(Бланк!O37+30)+60</f>
        <v>170</v>
      </c>
      <c r="P3" s="43">
        <f>(Бланк!U35-70)+100+(Бланк!L37+30)+60+(Бланк!R37+30)+60</f>
        <v>1110</v>
      </c>
    </row>
    <row r="4" spans="1:23" s="39" customFormat="1" ht="15.75" thickBot="1">
      <c r="C4" s="336" t="s">
        <v>1359</v>
      </c>
      <c r="D4" s="39">
        <f>IF((D3-D2)&gt;0,2,1)</f>
        <v>1</v>
      </c>
      <c r="E4" s="39">
        <f>IF((E3-E2)&gt;0,2,1)</f>
        <v>1</v>
      </c>
      <c r="F4" s="39">
        <f>IF(OR(D4=2,E4=2,Бланк!G6="ПКТ"),2,1)</f>
        <v>1</v>
      </c>
      <c r="I4" s="336" t="s">
        <v>1359</v>
      </c>
      <c r="J4" s="39">
        <f>IF((J3-J2)&gt;0,2,1)</f>
        <v>1</v>
      </c>
      <c r="K4" s="39">
        <f>IF((K3-K2)&gt;0,2,1)</f>
        <v>1</v>
      </c>
      <c r="L4" s="39">
        <f>IF(OR(J4=2,K4=2,Бланк!G22="ПКТ"),2,1)</f>
        <v>1</v>
      </c>
      <c r="N4" s="336" t="s">
        <v>1359</v>
      </c>
      <c r="O4" s="39">
        <f>IF((O3-O2)&gt;0,2,1)</f>
        <v>1</v>
      </c>
      <c r="P4" s="39">
        <f>IF((P3-P2)&gt;0,2,1)</f>
        <v>1</v>
      </c>
      <c r="Q4" s="39">
        <f>IF(OR(O4=2,P4=2,Бланк!G38="ПКТ"),2,1)</f>
        <v>1</v>
      </c>
    </row>
    <row r="5" spans="1:23" s="39" customFormat="1">
      <c r="D5" s="39" t="s">
        <v>920</v>
      </c>
      <c r="E5" s="39" t="s">
        <v>938</v>
      </c>
      <c r="F5" s="39" t="s">
        <v>939</v>
      </c>
      <c r="J5" s="736" t="s">
        <v>920</v>
      </c>
      <c r="K5" s="552" t="s">
        <v>938</v>
      </c>
      <c r="L5" s="553" t="s">
        <v>939</v>
      </c>
      <c r="Q5" s="111"/>
      <c r="S5" s="702"/>
      <c r="T5" s="702" t="s">
        <v>677</v>
      </c>
      <c r="U5" s="513"/>
    </row>
    <row r="6" spans="1:23" s="39" customFormat="1">
      <c r="A6" s="39" t="s">
        <v>313</v>
      </c>
      <c r="D6" s="735">
        <f>E12+E12*(F4-1)+D16*1.4*2.5*G12*(F4-1)</f>
        <v>0</v>
      </c>
      <c r="E6" s="735">
        <f>J12+J12*(L4-1)+D16*1.4*2.5*L12*(L4-1)</f>
        <v>0</v>
      </c>
      <c r="F6" s="735">
        <f>O12+O12*(Q4-1)+D16*1.4*2.5*Q12*(Q4-1)</f>
        <v>0</v>
      </c>
      <c r="I6" s="39" t="s">
        <v>1337</v>
      </c>
      <c r="J6" s="780">
        <f>IF(Бланк!F9="МДФ",(D6+'Плёнка Артв'!D2+'Плёнка Ева'!C2),0)</f>
        <v>0</v>
      </c>
      <c r="K6" s="778">
        <f>IF(Бланк!F25="МДФ",(E6+'Плёнка Артв'!E2+'Плёнка Ева'!D2),0)</f>
        <v>0</v>
      </c>
      <c r="L6" s="779">
        <f>IF(Бланк!F41="МДФ",(F6+'Плёнка Артв'!F2+'Плёнка Ева'!E2),0)</f>
        <v>0</v>
      </c>
      <c r="Q6" s="737" t="s">
        <v>1286</v>
      </c>
      <c r="R6" s="513" t="s">
        <v>704</v>
      </c>
      <c r="S6" s="39" t="s">
        <v>1287</v>
      </c>
      <c r="T6" s="39" t="s">
        <v>1284</v>
      </c>
      <c r="U6" s="39" t="s">
        <v>1285</v>
      </c>
    </row>
    <row r="7" spans="1:23" s="39" customFormat="1" ht="15.75" thickBot="1">
      <c r="A7" s="39" t="s">
        <v>314</v>
      </c>
      <c r="D7" s="735">
        <f>E14</f>
        <v>0</v>
      </c>
      <c r="E7" s="735">
        <f>J14</f>
        <v>0</v>
      </c>
      <c r="F7" s="735">
        <f>O14</f>
        <v>0</v>
      </c>
      <c r="I7" s="39" t="s">
        <v>1337</v>
      </c>
      <c r="J7" s="781">
        <f>D7+'Плёнка Артв'!D3+'Плёнка Ева'!C3</f>
        <v>0</v>
      </c>
      <c r="K7" s="782">
        <f>E7+'Плёнка Артв'!E3+'Плёнка Ева'!D3</f>
        <v>0</v>
      </c>
      <c r="L7" s="783">
        <f>F7+'Плёнка Артв'!F3+'Плёнка Ева'!E3</f>
        <v>0</v>
      </c>
    </row>
    <row r="8" spans="1:23" s="39" customFormat="1"/>
    <row r="9" spans="1:23" s="39" customFormat="1" ht="15.75" thickBot="1"/>
    <row r="10" spans="1:23" ht="15" customHeight="1">
      <c r="A10" s="682"/>
      <c r="B10" s="682"/>
      <c r="C10" s="682"/>
      <c r="D10" s="687" t="s">
        <v>920</v>
      </c>
      <c r="E10" s="688"/>
      <c r="F10" s="34" t="s">
        <v>1263</v>
      </c>
      <c r="G10" s="689" t="s">
        <v>1267</v>
      </c>
      <c r="I10" s="692" t="s">
        <v>938</v>
      </c>
      <c r="J10" s="693"/>
      <c r="K10" s="34" t="s">
        <v>1263</v>
      </c>
      <c r="L10" s="689" t="s">
        <v>1267</v>
      </c>
      <c r="N10" s="696" t="s">
        <v>939</v>
      </c>
      <c r="O10" s="697"/>
      <c r="P10" s="34" t="s">
        <v>1263</v>
      </c>
      <c r="Q10" s="689" t="s">
        <v>1267</v>
      </c>
      <c r="R10" s="111"/>
      <c r="T10"/>
    </row>
    <row r="11" spans="1:23" s="39" customFormat="1" ht="15" customHeight="1">
      <c r="A11" s="703" t="s">
        <v>1125</v>
      </c>
      <c r="B11" s="714"/>
      <c r="C11" s="714"/>
      <c r="D11" s="127">
        <f>Бланк!$F$10</f>
        <v>0</v>
      </c>
      <c r="E11" s="47">
        <f>IF(OR(Бланк!E10="ПДТ",Бланк!E10=""),IF(D11=0,0,MATCH(D11,Профдекор[#Headers],0)),0)</f>
        <v>0</v>
      </c>
      <c r="F11" s="705" t="b">
        <f>IF(OR(Бланк!$F$9="_металл",Бланк!$F$9="металл"),IF(OR(E12&gt;0,E11&gt;0),"Ошибка"),0)</f>
        <v>0</v>
      </c>
      <c r="G11" s="716">
        <f>IF(OR(Бланк!$F$9="металл",Бланк!$F$9="Фанера"),"",IF(Бланк!$X$3&gt;2190,VLOOKUP(D12,Профдекор[],E11,0)*1.4+80/RUR,0))</f>
        <v>0</v>
      </c>
      <c r="I11" s="694">
        <f>Бланк!$F$26</f>
        <v>0</v>
      </c>
      <c r="J11" s="47">
        <f>IF(OR(Бланк!E26="ПДТ",Бланк!E26=""),IF(I11=0,0,MATCH(I11,Профдекор[#Headers],0)),0)</f>
        <v>0</v>
      </c>
      <c r="K11" s="705" t="b">
        <f>IF(OR(Бланк!$F$25="_металл",Бланк!$F$25="металл"),IF(OR(J12&gt;0,J11&gt;0),"Ошибка"),0)</f>
        <v>0</v>
      </c>
      <c r="L11" s="716">
        <f>IF(Бланк!$X$19&gt;2190,VLOOKUP(I12,Профдекор[],J11,0)*1.4+80/RUR,0)</f>
        <v>0</v>
      </c>
      <c r="N11" s="698" t="str">
        <f>Бланк!$F$42</f>
        <v>ПВХ_Стандарт</v>
      </c>
      <c r="O11" s="47">
        <f>IF(OR(Бланк!E42="ПДТ",Бланк!E42=""),IF(N11=0,0,MATCH(N11,Профдекор[#Headers],0)),0)</f>
        <v>4</v>
      </c>
      <c r="P11" s="705">
        <f>IF(OR(Бланк!$F$41="_металл",Бланк!$F$41="металл"),IF(OR(O12&gt;0,O11&gt;0),"Ошибка"),0)</f>
        <v>0</v>
      </c>
      <c r="Q11" s="716">
        <f>IF(Бланк!$X$35&gt;2190,VLOOKUP(N12,Профдекор[],O11,0)*1.4+80/RUR,0)</f>
        <v>0</v>
      </c>
      <c r="R11" s="707"/>
    </row>
    <row r="12" spans="1:23" s="39" customFormat="1" ht="15" customHeight="1">
      <c r="D12" s="127">
        <f>IF(E11=0,0,Бланк!$I$10)</f>
        <v>0</v>
      </c>
      <c r="E12" s="704">
        <f>IF(Бланк!D10="_плёнка",IF(D12=0,0,(VLOOKUP(D12,Профдекор[],E11,0)*1.4*2.5*G12-1.7*1.4*2.5*G12)),0)</f>
        <v>0</v>
      </c>
      <c r="G12" s="803">
        <f>1.22*A3</f>
        <v>1.22</v>
      </c>
      <c r="I12" s="694">
        <f>IF(J11=0,0,Бланк!$I$26)</f>
        <v>0</v>
      </c>
      <c r="J12" s="704">
        <f>IF(I12=0,0,(VLOOKUP(I12,Профдекор[],J11,0)*1.4*2.5*L12-1.7*1.4*2.5*L12))</f>
        <v>0</v>
      </c>
      <c r="L12" s="804">
        <f>G12</f>
        <v>1.22</v>
      </c>
      <c r="N12" s="698">
        <f>IF(O11=0,0,Бланк!$I$42)</f>
        <v>0</v>
      </c>
      <c r="O12" s="704">
        <f>IF(N12=0,0,(VLOOKUP(N12,Профдекор[],O11,0)*1.4*2.5*Q12-1.7*1.4*2.5*Q12))</f>
        <v>0</v>
      </c>
      <c r="Q12" s="804">
        <f>G12</f>
        <v>1.22</v>
      </c>
      <c r="R12" s="643"/>
      <c r="S12" s="643"/>
      <c r="T12" s="682"/>
      <c r="U12" s="682"/>
    </row>
    <row r="13" spans="1:23" s="39" customFormat="1" ht="15" customHeight="1">
      <c r="A13" s="703" t="s">
        <v>1259</v>
      </c>
      <c r="B13" s="714"/>
      <c r="C13" s="714"/>
      <c r="D13" s="690">
        <f>Бланк!$F$12</f>
        <v>0</v>
      </c>
      <c r="E13" s="47">
        <f>IF(OR(Бланк!E12="ПДТ",Бланк!E12=""),IF(D13=0,0,MATCH(D13,Профдекор[#Headers],0)),0)</f>
        <v>0</v>
      </c>
      <c r="F13" s="705" t="b">
        <f>IF(OR(Бланк!$F$11="металл_",Бланк!$F$11="металл",Бланк!$F$11="ДСП"),IF(Бланк!F11="МДФ",IF(OR(E14&gt;0,E13&gt;0),"Ошибка"),0))</f>
        <v>0</v>
      </c>
      <c r="G13" s="716"/>
      <c r="I13" s="694">
        <f>Бланк!$F$28</f>
        <v>0</v>
      </c>
      <c r="J13" s="47">
        <f>IF(OR(Бланк!E28="ПДТ",Бланк!E28=""),IF(I13=0,0,MATCH(I13,Профдекор[#Headers],0)),0)</f>
        <v>0</v>
      </c>
      <c r="K13" s="705" t="b">
        <f>IF(OR(Бланк!$F$27="_металл",Бланк!$F$27="металл",Бланк!$F$27="ДСП"),IF(Бланк!F27="МДФ",IF(OR(J14&gt;0,J13&gt;0),"Ошибка"),0))</f>
        <v>0</v>
      </c>
      <c r="L13" s="700"/>
      <c r="N13" s="698" t="str">
        <f>Бланк!$F$44</f>
        <v>ПВХ_Стандарт</v>
      </c>
      <c r="O13" s="47">
        <f>IF(OR(Бланк!E44="ПДТ",Бланк!E44=""),IF(N13=0,0,MATCH(N13,Профдекор[#Headers],0)),0)</f>
        <v>4</v>
      </c>
      <c r="P13" s="705" t="b">
        <f>IF(OR(Бланк!$F$43="_металл",Бланк!$F$43="ДСП"),IF(Бланк!F43="МДФ",IF(OR(O14&gt;0,O13&gt;0),"Ошибка"),0))</f>
        <v>0</v>
      </c>
      <c r="Q13" s="700"/>
      <c r="R13" s="707"/>
      <c r="S13" s="707"/>
      <c r="T13" s="682"/>
      <c r="U13" s="682"/>
    </row>
    <row r="14" spans="1:23" ht="19.5" thickBot="1">
      <c r="A14" s="347" t="str">
        <f>S6</f>
        <v>ПДТ</v>
      </c>
      <c r="B14" s="347"/>
      <c r="C14" s="347"/>
      <c r="D14" s="691">
        <f>IF(E13=0,0,Бланк!$I$12)</f>
        <v>0</v>
      </c>
      <c r="E14" s="704">
        <f>IF(Бланк!D12="_плёнка",IF(D14=0,0,(VLOOKUP(D14,Профдекор[],E13,0)-D16))*1.4*2.5+G13+$D$16*(F4-1)*1.4*2.5*G12,0)</f>
        <v>0</v>
      </c>
      <c r="F14" s="705"/>
      <c r="G14" s="723"/>
      <c r="I14" s="695">
        <f>IF(J13=0,0,Бланк!$I$28)</f>
        <v>0</v>
      </c>
      <c r="J14" s="704">
        <f>IF(Бланк!D28="_плёнка",IF(I14=0,0,(VLOOKUP(I14,Профдекор[],J13,0)-D16)*1.4*2.5)+$D$16*(L4-1)*1.4*2.5*L12,0)</f>
        <v>0</v>
      </c>
      <c r="K14" s="29"/>
      <c r="L14" s="701"/>
      <c r="N14" s="699">
        <f>IF(O13=0,0,Бланк!$I$44)</f>
        <v>0</v>
      </c>
      <c r="O14" s="704">
        <f>IF(Бланк!D44="_плёнка",IF(N14=0,0,(VLOOKUP(N14,Профдекор[],O13,0)-D16)*1.4*2.5)+D16*(Q4-1)*1.4*2.5*Q12,0)</f>
        <v>0</v>
      </c>
      <c r="P14" s="29"/>
      <c r="Q14" s="701"/>
      <c r="R14" s="643"/>
      <c r="S14" s="643"/>
    </row>
    <row r="15" spans="1:23" s="485" customFormat="1" ht="30.75" thickBot="1">
      <c r="A15" s="722" t="s">
        <v>814</v>
      </c>
      <c r="B15" s="715" t="s">
        <v>1267</v>
      </c>
      <c r="C15" s="715" t="s">
        <v>1227</v>
      </c>
      <c r="D15" s="514" t="s">
        <v>485</v>
      </c>
      <c r="E15" s="684" t="s">
        <v>1250</v>
      </c>
      <c r="F15" s="684" t="s">
        <v>1251</v>
      </c>
      <c r="G15" s="684" t="s">
        <v>1252</v>
      </c>
      <c r="H15" s="684" t="s">
        <v>1253</v>
      </c>
      <c r="I15" s="684" t="s">
        <v>1254</v>
      </c>
      <c r="J15" s="684" t="s">
        <v>1255</v>
      </c>
      <c r="K15" s="684" t="s">
        <v>1256</v>
      </c>
      <c r="L15" s="684" t="s">
        <v>1257</v>
      </c>
      <c r="M15" s="684" t="s">
        <v>1575</v>
      </c>
      <c r="N15" s="684" t="s">
        <v>1258</v>
      </c>
      <c r="O15" s="708" t="s">
        <v>1265</v>
      </c>
      <c r="P15" s="708" t="s">
        <v>1262</v>
      </c>
      <c r="Q15" s="515" t="s">
        <v>781</v>
      </c>
      <c r="R15" s="515" t="s">
        <v>782</v>
      </c>
      <c r="S15" s="514" t="s">
        <v>1617</v>
      </c>
      <c r="T15" s="514" t="s">
        <v>1630</v>
      </c>
      <c r="U15" s="516" t="s">
        <v>986</v>
      </c>
      <c r="V15" s="516" t="s">
        <v>987</v>
      </c>
    </row>
    <row r="16" spans="1:23" ht="15.75" thickBot="1">
      <c r="A16" s="39" t="s">
        <v>1244</v>
      </c>
      <c r="B16" s="717">
        <v>1.4</v>
      </c>
      <c r="C16" s="739"/>
      <c r="D16" s="39">
        <v>1.7</v>
      </c>
      <c r="E16" s="39" t="e">
        <f t="shared" ref="D16:N31" si="0">1/0</f>
        <v>#DIV/0!</v>
      </c>
      <c r="F16" s="39" t="e">
        <f t="shared" si="0"/>
        <v>#DIV/0!</v>
      </c>
      <c r="G16" s="39" t="e">
        <f t="shared" si="0"/>
        <v>#DIV/0!</v>
      </c>
      <c r="H16" s="39">
        <f>Профдекор[[#This Row],[ПВХ_Стандарт]]</f>
        <v>1.7</v>
      </c>
      <c r="I16" s="39" t="e">
        <f t="shared" si="0"/>
        <v>#DIV/0!</v>
      </c>
      <c r="J16" s="39" t="e">
        <f t="shared" si="0"/>
        <v>#DIV/0!</v>
      </c>
      <c r="K16" s="39" t="e">
        <f t="shared" si="0"/>
        <v>#DIV/0!</v>
      </c>
      <c r="L16" s="39" t="e">
        <f t="shared" si="0"/>
        <v>#DIV/0!</v>
      </c>
      <c r="M16" s="39" t="e">
        <f t="shared" si="0"/>
        <v>#DIV/0!</v>
      </c>
      <c r="N16" s="39" t="e">
        <f t="shared" si="0"/>
        <v>#DIV/0!</v>
      </c>
      <c r="O16" s="39" t="e">
        <f t="shared" ref="O16:T89" si="1">1/0</f>
        <v>#DIV/0!</v>
      </c>
      <c r="P16" s="39" t="e">
        <f t="shared" ref="P16:V35" si="2">1/0</f>
        <v>#DIV/0!</v>
      </c>
      <c r="Q16" s="39" t="e">
        <f t="shared" si="2"/>
        <v>#DIV/0!</v>
      </c>
      <c r="R16" s="39" t="e">
        <f t="shared" si="2"/>
        <v>#DIV/0!</v>
      </c>
      <c r="S16" s="39" t="e">
        <f t="shared" si="2"/>
        <v>#DIV/0!</v>
      </c>
      <c r="T16" s="39" t="e">
        <f t="shared" si="2"/>
        <v>#DIV/0!</v>
      </c>
      <c r="U16" s="39" t="e">
        <f t="shared" si="2"/>
        <v>#DIV/0!</v>
      </c>
      <c r="V16" s="39" t="e">
        <f t="shared" si="2"/>
        <v>#DIV/0!</v>
      </c>
      <c r="W16"/>
    </row>
    <row r="17" spans="1:23" ht="15.75" thickBot="1">
      <c r="A17" s="39" t="s">
        <v>1245</v>
      </c>
      <c r="B17" s="717">
        <v>1.4</v>
      </c>
      <c r="C17" s="739"/>
      <c r="D17" s="39">
        <f>$D$16</f>
        <v>1.7</v>
      </c>
      <c r="E17" s="39" t="e">
        <f t="shared" si="0"/>
        <v>#DIV/0!</v>
      </c>
      <c r="F17" s="39" t="e">
        <f t="shared" si="0"/>
        <v>#DIV/0!</v>
      </c>
      <c r="G17" s="39" t="e">
        <f t="shared" si="0"/>
        <v>#DIV/0!</v>
      </c>
      <c r="H17" s="39">
        <f>Профдекор[[#This Row],[ПВХ_Стандарт]]</f>
        <v>1.7</v>
      </c>
      <c r="I17" s="39" t="e">
        <f t="shared" si="0"/>
        <v>#DIV/0!</v>
      </c>
      <c r="J17" s="39" t="e">
        <f t="shared" si="0"/>
        <v>#DIV/0!</v>
      </c>
      <c r="K17" s="39" t="e">
        <f t="shared" si="0"/>
        <v>#DIV/0!</v>
      </c>
      <c r="L17" s="39" t="e">
        <f t="shared" si="0"/>
        <v>#DIV/0!</v>
      </c>
      <c r="M17" s="39" t="e">
        <f t="shared" si="0"/>
        <v>#DIV/0!</v>
      </c>
      <c r="N17" s="39" t="e">
        <f t="shared" si="0"/>
        <v>#DIV/0!</v>
      </c>
      <c r="O17" s="39" t="e">
        <f t="shared" si="1"/>
        <v>#DIV/0!</v>
      </c>
      <c r="P17" s="39" t="e">
        <f t="shared" si="2"/>
        <v>#DIV/0!</v>
      </c>
      <c r="Q17" s="39" t="e">
        <f t="shared" si="2"/>
        <v>#DIV/0!</v>
      </c>
      <c r="R17" s="39" t="e">
        <f t="shared" si="2"/>
        <v>#DIV/0!</v>
      </c>
      <c r="S17" s="39" t="e">
        <f t="shared" si="2"/>
        <v>#DIV/0!</v>
      </c>
      <c r="T17" s="39" t="e">
        <f t="shared" si="2"/>
        <v>#DIV/0!</v>
      </c>
      <c r="U17" s="39" t="e">
        <f t="shared" si="2"/>
        <v>#DIV/0!</v>
      </c>
      <c r="V17" s="39" t="e">
        <f t="shared" si="2"/>
        <v>#DIV/0!</v>
      </c>
      <c r="W17"/>
    </row>
    <row r="18" spans="1:23" s="39" customFormat="1" ht="15.75" thickBot="1">
      <c r="A18" s="706" t="s">
        <v>1589</v>
      </c>
      <c r="B18" s="717">
        <v>1.4</v>
      </c>
      <c r="C18" s="739"/>
      <c r="D18" s="39">
        <f t="shared" ref="D18:D28" si="3">$D$16</f>
        <v>1.7</v>
      </c>
      <c r="E18" s="39" t="e">
        <f t="shared" si="0"/>
        <v>#DIV/0!</v>
      </c>
      <c r="F18" s="39" t="e">
        <f t="shared" si="0"/>
        <v>#DIV/0!</v>
      </c>
      <c r="G18" s="39" t="e">
        <f t="shared" si="0"/>
        <v>#DIV/0!</v>
      </c>
      <c r="H18" s="39">
        <f>Профдекор[[#This Row],[ПВХ_Стандарт]]</f>
        <v>1.7</v>
      </c>
      <c r="I18" s="39" t="e">
        <f t="shared" si="0"/>
        <v>#DIV/0!</v>
      </c>
      <c r="J18" s="39" t="e">
        <f t="shared" si="0"/>
        <v>#DIV/0!</v>
      </c>
      <c r="K18" s="39" t="e">
        <f t="shared" si="0"/>
        <v>#DIV/0!</v>
      </c>
      <c r="L18" s="39" t="e">
        <f t="shared" si="0"/>
        <v>#DIV/0!</v>
      </c>
      <c r="M18" s="39" t="e">
        <f t="shared" si="0"/>
        <v>#DIV/0!</v>
      </c>
      <c r="N18" s="39" t="e">
        <f t="shared" si="0"/>
        <v>#DIV/0!</v>
      </c>
      <c r="O18" s="39" t="e">
        <f t="shared" si="1"/>
        <v>#DIV/0!</v>
      </c>
      <c r="P18" s="39" t="e">
        <f t="shared" si="2"/>
        <v>#DIV/0!</v>
      </c>
      <c r="Q18" s="39" t="e">
        <f t="shared" si="2"/>
        <v>#DIV/0!</v>
      </c>
      <c r="R18" s="39" t="e">
        <f t="shared" si="2"/>
        <v>#DIV/0!</v>
      </c>
      <c r="S18" s="39" t="e">
        <f t="shared" si="2"/>
        <v>#DIV/0!</v>
      </c>
      <c r="T18" s="39" t="e">
        <f t="shared" si="2"/>
        <v>#DIV/0!</v>
      </c>
      <c r="U18" s="39" t="e">
        <f t="shared" si="2"/>
        <v>#DIV/0!</v>
      </c>
      <c r="V18" s="39" t="e">
        <f t="shared" si="2"/>
        <v>#DIV/0!</v>
      </c>
    </row>
    <row r="19" spans="1:23" s="39" customFormat="1" ht="15.75" thickBot="1">
      <c r="A19" s="706" t="s">
        <v>1590</v>
      </c>
      <c r="B19" s="717">
        <v>1.4</v>
      </c>
      <c r="C19" s="739"/>
      <c r="D19" s="39">
        <f t="shared" si="3"/>
        <v>1.7</v>
      </c>
      <c r="E19" s="39" t="e">
        <f t="shared" si="0"/>
        <v>#DIV/0!</v>
      </c>
      <c r="F19" s="39" t="e">
        <f t="shared" si="0"/>
        <v>#DIV/0!</v>
      </c>
      <c r="G19" s="39" t="e">
        <f t="shared" si="0"/>
        <v>#DIV/0!</v>
      </c>
      <c r="H19" s="39">
        <f>Профдекор[[#This Row],[ПВХ_Стандарт]]</f>
        <v>1.7</v>
      </c>
      <c r="I19" s="39" t="e">
        <f t="shared" si="0"/>
        <v>#DIV/0!</v>
      </c>
      <c r="J19" s="39" t="e">
        <f t="shared" si="0"/>
        <v>#DIV/0!</v>
      </c>
      <c r="K19" s="39" t="e">
        <f t="shared" si="0"/>
        <v>#DIV/0!</v>
      </c>
      <c r="L19" s="39" t="e">
        <f t="shared" si="0"/>
        <v>#DIV/0!</v>
      </c>
      <c r="M19" s="39" t="e">
        <f t="shared" si="0"/>
        <v>#DIV/0!</v>
      </c>
      <c r="N19" s="39" t="e">
        <f t="shared" si="0"/>
        <v>#DIV/0!</v>
      </c>
      <c r="O19" s="39" t="e">
        <f t="shared" si="1"/>
        <v>#DIV/0!</v>
      </c>
      <c r="P19" s="39" t="e">
        <f t="shared" si="2"/>
        <v>#DIV/0!</v>
      </c>
      <c r="Q19" s="39" t="e">
        <f t="shared" si="2"/>
        <v>#DIV/0!</v>
      </c>
      <c r="R19" s="39" t="e">
        <f t="shared" si="2"/>
        <v>#DIV/0!</v>
      </c>
      <c r="S19" s="39" t="e">
        <f t="shared" si="2"/>
        <v>#DIV/0!</v>
      </c>
      <c r="T19" s="39" t="e">
        <f t="shared" si="2"/>
        <v>#DIV/0!</v>
      </c>
      <c r="U19" s="39" t="e">
        <f t="shared" si="2"/>
        <v>#DIV/0!</v>
      </c>
      <c r="V19" s="39" t="e">
        <f t="shared" si="2"/>
        <v>#DIV/0!</v>
      </c>
    </row>
    <row r="20" spans="1:23" ht="15.75" thickBot="1">
      <c r="A20" s="39" t="s">
        <v>1246</v>
      </c>
      <c r="B20" s="717">
        <v>1.4</v>
      </c>
      <c r="C20" s="739"/>
      <c r="D20" s="39">
        <f t="shared" si="3"/>
        <v>1.7</v>
      </c>
      <c r="E20" s="39" t="e">
        <f t="shared" si="0"/>
        <v>#DIV/0!</v>
      </c>
      <c r="F20" s="39" t="e">
        <f t="shared" si="0"/>
        <v>#DIV/0!</v>
      </c>
      <c r="G20" s="39" t="e">
        <f t="shared" si="0"/>
        <v>#DIV/0!</v>
      </c>
      <c r="H20" s="39" t="e">
        <f t="shared" si="0"/>
        <v>#DIV/0!</v>
      </c>
      <c r="I20" s="39">
        <f>Профдекор[[#This Row],[ПВХ_Стандарт]]</f>
        <v>1.7</v>
      </c>
      <c r="J20" s="39" t="e">
        <f t="shared" si="0"/>
        <v>#DIV/0!</v>
      </c>
      <c r="K20" s="39" t="e">
        <f t="shared" si="0"/>
        <v>#DIV/0!</v>
      </c>
      <c r="L20" s="39" t="e">
        <f t="shared" si="0"/>
        <v>#DIV/0!</v>
      </c>
      <c r="M20" s="39" t="e">
        <f t="shared" si="0"/>
        <v>#DIV/0!</v>
      </c>
      <c r="N20" s="39" t="e">
        <f t="shared" si="0"/>
        <v>#DIV/0!</v>
      </c>
      <c r="O20" s="39" t="e">
        <f t="shared" si="1"/>
        <v>#DIV/0!</v>
      </c>
      <c r="P20" s="39" t="e">
        <f t="shared" si="2"/>
        <v>#DIV/0!</v>
      </c>
      <c r="Q20" s="39" t="e">
        <f t="shared" si="2"/>
        <v>#DIV/0!</v>
      </c>
      <c r="R20" s="39" t="e">
        <f t="shared" si="2"/>
        <v>#DIV/0!</v>
      </c>
      <c r="S20" s="39" t="e">
        <f t="shared" si="2"/>
        <v>#DIV/0!</v>
      </c>
      <c r="T20" s="39" t="e">
        <f t="shared" si="2"/>
        <v>#DIV/0!</v>
      </c>
      <c r="U20" s="39" t="e">
        <f t="shared" si="2"/>
        <v>#DIV/0!</v>
      </c>
      <c r="V20" s="39" t="e">
        <f t="shared" si="2"/>
        <v>#DIV/0!</v>
      </c>
      <c r="W20"/>
    </row>
    <row r="21" spans="1:23" ht="15.75" thickBot="1">
      <c r="A21" s="39" t="s">
        <v>1247</v>
      </c>
      <c r="B21" s="717">
        <v>1.4</v>
      </c>
      <c r="C21" s="739"/>
      <c r="D21" s="39">
        <f t="shared" si="3"/>
        <v>1.7</v>
      </c>
      <c r="E21" s="39" t="e">
        <f t="shared" si="0"/>
        <v>#DIV/0!</v>
      </c>
      <c r="F21" s="39" t="e">
        <f t="shared" si="0"/>
        <v>#DIV/0!</v>
      </c>
      <c r="G21" s="39" t="e">
        <f t="shared" si="0"/>
        <v>#DIV/0!</v>
      </c>
      <c r="H21" s="39" t="e">
        <f t="shared" si="0"/>
        <v>#DIV/0!</v>
      </c>
      <c r="I21" s="39">
        <f>Профдекор[[#This Row],[ПВХ_Стандарт]]</f>
        <v>1.7</v>
      </c>
      <c r="J21" s="39" t="e">
        <f t="shared" si="0"/>
        <v>#DIV/0!</v>
      </c>
      <c r="K21" s="39" t="e">
        <f t="shared" si="0"/>
        <v>#DIV/0!</v>
      </c>
      <c r="L21" s="39" t="e">
        <f t="shared" si="0"/>
        <v>#DIV/0!</v>
      </c>
      <c r="M21" s="39" t="e">
        <f t="shared" si="0"/>
        <v>#DIV/0!</v>
      </c>
      <c r="N21" s="39" t="e">
        <f t="shared" si="0"/>
        <v>#DIV/0!</v>
      </c>
      <c r="O21" s="39" t="e">
        <f t="shared" si="1"/>
        <v>#DIV/0!</v>
      </c>
      <c r="P21" s="39" t="e">
        <f t="shared" si="2"/>
        <v>#DIV/0!</v>
      </c>
      <c r="Q21" s="39" t="e">
        <f t="shared" si="2"/>
        <v>#DIV/0!</v>
      </c>
      <c r="R21" s="39" t="e">
        <f t="shared" si="2"/>
        <v>#DIV/0!</v>
      </c>
      <c r="S21" s="39" t="e">
        <f t="shared" si="2"/>
        <v>#DIV/0!</v>
      </c>
      <c r="T21" s="39" t="e">
        <f t="shared" si="2"/>
        <v>#DIV/0!</v>
      </c>
      <c r="U21" s="39" t="e">
        <f t="shared" si="2"/>
        <v>#DIV/0!</v>
      </c>
      <c r="V21" s="39" t="e">
        <f t="shared" si="2"/>
        <v>#DIV/0!</v>
      </c>
      <c r="W21"/>
    </row>
    <row r="22" spans="1:23" ht="15.75" thickBot="1">
      <c r="A22" s="39" t="s">
        <v>1248</v>
      </c>
      <c r="B22" s="717">
        <v>1.4</v>
      </c>
      <c r="C22" s="739"/>
      <c r="D22" s="39">
        <f t="shared" si="3"/>
        <v>1.7</v>
      </c>
      <c r="E22" s="39" t="e">
        <f t="shared" si="0"/>
        <v>#DIV/0!</v>
      </c>
      <c r="F22" s="39" t="e">
        <f t="shared" si="0"/>
        <v>#DIV/0!</v>
      </c>
      <c r="G22" s="39" t="e">
        <f t="shared" si="0"/>
        <v>#DIV/0!</v>
      </c>
      <c r="H22" s="39" t="e">
        <f t="shared" si="0"/>
        <v>#DIV/0!</v>
      </c>
      <c r="I22" s="39">
        <f>Профдекор[[#This Row],[ПВХ_Стандарт]]</f>
        <v>1.7</v>
      </c>
      <c r="J22" s="39" t="e">
        <f t="shared" si="0"/>
        <v>#DIV/0!</v>
      </c>
      <c r="K22" s="39" t="e">
        <f t="shared" si="0"/>
        <v>#DIV/0!</v>
      </c>
      <c r="L22" s="39" t="e">
        <f t="shared" si="0"/>
        <v>#DIV/0!</v>
      </c>
      <c r="M22" s="39" t="e">
        <f t="shared" si="0"/>
        <v>#DIV/0!</v>
      </c>
      <c r="N22" s="39" t="e">
        <f t="shared" si="0"/>
        <v>#DIV/0!</v>
      </c>
      <c r="O22" s="39" t="e">
        <f t="shared" si="1"/>
        <v>#DIV/0!</v>
      </c>
      <c r="P22" s="39" t="e">
        <f t="shared" si="2"/>
        <v>#DIV/0!</v>
      </c>
      <c r="Q22" s="39" t="e">
        <f t="shared" si="2"/>
        <v>#DIV/0!</v>
      </c>
      <c r="R22" s="39" t="e">
        <f t="shared" si="2"/>
        <v>#DIV/0!</v>
      </c>
      <c r="S22" s="39" t="e">
        <f t="shared" si="2"/>
        <v>#DIV/0!</v>
      </c>
      <c r="T22" s="39" t="e">
        <f t="shared" si="2"/>
        <v>#DIV/0!</v>
      </c>
      <c r="U22" s="39" t="e">
        <f t="shared" si="2"/>
        <v>#DIV/0!</v>
      </c>
      <c r="V22" s="39" t="e">
        <f t="shared" si="2"/>
        <v>#DIV/0!</v>
      </c>
      <c r="W22"/>
    </row>
    <row r="23" spans="1:23" ht="15.75" thickBot="1">
      <c r="A23" s="39" t="s">
        <v>1249</v>
      </c>
      <c r="B23" s="717">
        <v>1.4</v>
      </c>
      <c r="C23" s="739"/>
      <c r="D23" s="39">
        <f t="shared" si="3"/>
        <v>1.7</v>
      </c>
      <c r="E23" s="39" t="e">
        <f t="shared" si="0"/>
        <v>#DIV/0!</v>
      </c>
      <c r="F23" s="39" t="e">
        <f t="shared" si="0"/>
        <v>#DIV/0!</v>
      </c>
      <c r="G23" s="39" t="e">
        <f t="shared" si="0"/>
        <v>#DIV/0!</v>
      </c>
      <c r="H23" s="39" t="e">
        <f t="shared" si="0"/>
        <v>#DIV/0!</v>
      </c>
      <c r="I23" s="39">
        <f>Профдекор[[#This Row],[ПВХ_Стандарт]]</f>
        <v>1.7</v>
      </c>
      <c r="J23" s="39" t="e">
        <f t="shared" si="0"/>
        <v>#DIV/0!</v>
      </c>
      <c r="K23" s="39" t="e">
        <f t="shared" si="0"/>
        <v>#DIV/0!</v>
      </c>
      <c r="L23" s="39" t="e">
        <f t="shared" si="0"/>
        <v>#DIV/0!</v>
      </c>
      <c r="M23" s="39" t="e">
        <f t="shared" si="0"/>
        <v>#DIV/0!</v>
      </c>
      <c r="N23" s="39" t="e">
        <f t="shared" si="0"/>
        <v>#DIV/0!</v>
      </c>
      <c r="O23" s="39" t="e">
        <f t="shared" si="1"/>
        <v>#DIV/0!</v>
      </c>
      <c r="P23" s="39" t="e">
        <f t="shared" si="2"/>
        <v>#DIV/0!</v>
      </c>
      <c r="Q23" s="39" t="e">
        <f t="shared" si="2"/>
        <v>#DIV/0!</v>
      </c>
      <c r="R23" s="39" t="e">
        <f t="shared" si="2"/>
        <v>#DIV/0!</v>
      </c>
      <c r="S23" s="39" t="e">
        <f t="shared" si="2"/>
        <v>#DIV/0!</v>
      </c>
      <c r="T23" s="39" t="e">
        <f t="shared" si="2"/>
        <v>#DIV/0!</v>
      </c>
      <c r="U23" s="39" t="e">
        <f t="shared" si="2"/>
        <v>#DIV/0!</v>
      </c>
      <c r="V23" s="39" t="e">
        <f t="shared" si="2"/>
        <v>#DIV/0!</v>
      </c>
      <c r="W23"/>
    </row>
    <row r="24" spans="1:23" ht="15.75" thickBot="1">
      <c r="A24" s="39" t="s">
        <v>1591</v>
      </c>
      <c r="B24" s="717">
        <v>1.4</v>
      </c>
      <c r="C24" s="739"/>
      <c r="D24" s="39">
        <f t="shared" si="3"/>
        <v>1.7</v>
      </c>
      <c r="E24" s="39" t="e">
        <f t="shared" si="0"/>
        <v>#DIV/0!</v>
      </c>
      <c r="F24" s="39" t="e">
        <f t="shared" si="0"/>
        <v>#DIV/0!</v>
      </c>
      <c r="G24" s="39" t="e">
        <f t="shared" si="0"/>
        <v>#DIV/0!</v>
      </c>
      <c r="H24" s="39" t="e">
        <f t="shared" si="0"/>
        <v>#DIV/0!</v>
      </c>
      <c r="I24" s="39">
        <f>Профдекор[[#This Row],[ПВХ_Стандарт]]</f>
        <v>1.7</v>
      </c>
      <c r="J24" s="39" t="e">
        <f t="shared" si="0"/>
        <v>#DIV/0!</v>
      </c>
      <c r="K24" s="39" t="e">
        <f t="shared" si="0"/>
        <v>#DIV/0!</v>
      </c>
      <c r="L24" s="39" t="e">
        <f t="shared" si="0"/>
        <v>#DIV/0!</v>
      </c>
      <c r="M24" s="39" t="e">
        <f t="shared" si="0"/>
        <v>#DIV/0!</v>
      </c>
      <c r="N24" s="39" t="e">
        <f t="shared" si="0"/>
        <v>#DIV/0!</v>
      </c>
      <c r="O24" s="39" t="e">
        <f t="shared" si="1"/>
        <v>#DIV/0!</v>
      </c>
      <c r="P24" s="39" t="e">
        <f t="shared" si="2"/>
        <v>#DIV/0!</v>
      </c>
      <c r="Q24" s="39" t="e">
        <f t="shared" si="2"/>
        <v>#DIV/0!</v>
      </c>
      <c r="R24" s="39" t="e">
        <f t="shared" si="2"/>
        <v>#DIV/0!</v>
      </c>
      <c r="S24" s="39" t="e">
        <f t="shared" si="2"/>
        <v>#DIV/0!</v>
      </c>
      <c r="T24" s="39" t="e">
        <f t="shared" si="2"/>
        <v>#DIV/0!</v>
      </c>
      <c r="U24" s="39" t="e">
        <f t="shared" si="2"/>
        <v>#DIV/0!</v>
      </c>
      <c r="V24" s="39" t="e">
        <f t="shared" si="2"/>
        <v>#DIV/0!</v>
      </c>
      <c r="W24"/>
    </row>
    <row r="25" spans="1:23" ht="15.75" thickBot="1">
      <c r="A25" s="39" t="s">
        <v>1592</v>
      </c>
      <c r="B25" s="717">
        <v>1.4</v>
      </c>
      <c r="C25" s="739"/>
      <c r="D25" s="39">
        <f t="shared" si="3"/>
        <v>1.7</v>
      </c>
      <c r="E25" s="39" t="e">
        <f t="shared" si="0"/>
        <v>#DIV/0!</v>
      </c>
      <c r="F25" s="39" t="e">
        <f t="shared" si="0"/>
        <v>#DIV/0!</v>
      </c>
      <c r="G25" s="39" t="e">
        <f t="shared" si="0"/>
        <v>#DIV/0!</v>
      </c>
      <c r="H25" s="39" t="e">
        <f t="shared" si="0"/>
        <v>#DIV/0!</v>
      </c>
      <c r="I25" s="39">
        <f>Профдекор[[#This Row],[ПВХ_Стандарт]]</f>
        <v>1.7</v>
      </c>
      <c r="J25" s="39" t="e">
        <f t="shared" si="0"/>
        <v>#DIV/0!</v>
      </c>
      <c r="K25" s="39" t="e">
        <f t="shared" si="0"/>
        <v>#DIV/0!</v>
      </c>
      <c r="L25" s="39" t="e">
        <f t="shared" si="0"/>
        <v>#DIV/0!</v>
      </c>
      <c r="M25" s="39" t="e">
        <f t="shared" si="0"/>
        <v>#DIV/0!</v>
      </c>
      <c r="N25" s="39" t="e">
        <f t="shared" si="0"/>
        <v>#DIV/0!</v>
      </c>
      <c r="O25" s="39" t="e">
        <f t="shared" si="1"/>
        <v>#DIV/0!</v>
      </c>
      <c r="P25" s="39" t="e">
        <f t="shared" si="2"/>
        <v>#DIV/0!</v>
      </c>
      <c r="Q25" s="39" t="e">
        <f t="shared" ref="Q25:V43" si="4">1/0</f>
        <v>#DIV/0!</v>
      </c>
      <c r="R25" s="39" t="e">
        <f t="shared" si="4"/>
        <v>#DIV/0!</v>
      </c>
      <c r="S25" s="39" t="e">
        <f t="shared" si="4"/>
        <v>#DIV/0!</v>
      </c>
      <c r="T25" s="39" t="e">
        <f t="shared" si="4"/>
        <v>#DIV/0!</v>
      </c>
      <c r="U25" s="39" t="e">
        <f t="shared" si="2"/>
        <v>#DIV/0!</v>
      </c>
      <c r="V25" s="39" t="e">
        <f t="shared" si="2"/>
        <v>#DIV/0!</v>
      </c>
      <c r="W25"/>
    </row>
    <row r="26" spans="1:23" ht="15.75" thickBot="1">
      <c r="A26" s="39" t="s">
        <v>1593</v>
      </c>
      <c r="B26" s="717">
        <v>1.4</v>
      </c>
      <c r="C26" s="739"/>
      <c r="D26" s="39">
        <f t="shared" si="3"/>
        <v>1.7</v>
      </c>
      <c r="E26" s="39" t="e">
        <f t="shared" si="0"/>
        <v>#DIV/0!</v>
      </c>
      <c r="F26" s="39" t="e">
        <f t="shared" si="0"/>
        <v>#DIV/0!</v>
      </c>
      <c r="G26" s="39" t="e">
        <f t="shared" si="0"/>
        <v>#DIV/0!</v>
      </c>
      <c r="H26" s="39" t="e">
        <f t="shared" si="0"/>
        <v>#DIV/0!</v>
      </c>
      <c r="I26" s="39">
        <f>Профдекор[[#This Row],[ПВХ_Стандарт]]</f>
        <v>1.7</v>
      </c>
      <c r="J26" s="39" t="e">
        <f t="shared" si="0"/>
        <v>#DIV/0!</v>
      </c>
      <c r="K26" s="39" t="e">
        <f t="shared" si="0"/>
        <v>#DIV/0!</v>
      </c>
      <c r="L26" s="39" t="e">
        <f t="shared" si="0"/>
        <v>#DIV/0!</v>
      </c>
      <c r="M26" s="39" t="e">
        <f t="shared" si="0"/>
        <v>#DIV/0!</v>
      </c>
      <c r="N26" s="39" t="e">
        <f t="shared" si="0"/>
        <v>#DIV/0!</v>
      </c>
      <c r="O26" s="39" t="e">
        <f t="shared" si="1"/>
        <v>#DIV/0!</v>
      </c>
      <c r="P26" s="39" t="e">
        <f t="shared" si="2"/>
        <v>#DIV/0!</v>
      </c>
      <c r="Q26" s="39" t="e">
        <f t="shared" si="4"/>
        <v>#DIV/0!</v>
      </c>
      <c r="R26" s="39" t="e">
        <f t="shared" si="4"/>
        <v>#DIV/0!</v>
      </c>
      <c r="S26" s="39" t="e">
        <f t="shared" si="4"/>
        <v>#DIV/0!</v>
      </c>
      <c r="T26" s="39" t="e">
        <f t="shared" si="4"/>
        <v>#DIV/0!</v>
      </c>
      <c r="U26" s="39" t="e">
        <f t="shared" si="2"/>
        <v>#DIV/0!</v>
      </c>
      <c r="V26" s="39" t="e">
        <f t="shared" si="2"/>
        <v>#DIV/0!</v>
      </c>
      <c r="W26"/>
    </row>
    <row r="27" spans="1:23" ht="15.75" thickBot="1">
      <c r="A27" s="39" t="s">
        <v>1594</v>
      </c>
      <c r="B27" s="717">
        <v>1.4</v>
      </c>
      <c r="C27" s="739"/>
      <c r="D27" s="39">
        <f t="shared" si="3"/>
        <v>1.7</v>
      </c>
      <c r="E27" s="39" t="e">
        <f t="shared" si="0"/>
        <v>#DIV/0!</v>
      </c>
      <c r="F27" s="39" t="e">
        <f t="shared" si="0"/>
        <v>#DIV/0!</v>
      </c>
      <c r="G27" s="39" t="e">
        <f t="shared" si="0"/>
        <v>#DIV/0!</v>
      </c>
      <c r="H27" s="39" t="e">
        <f t="shared" si="0"/>
        <v>#DIV/0!</v>
      </c>
      <c r="I27" s="39">
        <f>Профдекор[[#This Row],[ПВХ_Стандарт]]</f>
        <v>1.7</v>
      </c>
      <c r="J27" s="39" t="e">
        <f t="shared" si="0"/>
        <v>#DIV/0!</v>
      </c>
      <c r="K27" s="39" t="e">
        <f t="shared" si="0"/>
        <v>#DIV/0!</v>
      </c>
      <c r="L27" s="39" t="e">
        <f t="shared" si="0"/>
        <v>#DIV/0!</v>
      </c>
      <c r="M27" s="39" t="e">
        <f t="shared" si="0"/>
        <v>#DIV/0!</v>
      </c>
      <c r="N27" s="39" t="e">
        <f t="shared" si="0"/>
        <v>#DIV/0!</v>
      </c>
      <c r="O27" s="39" t="e">
        <f t="shared" si="1"/>
        <v>#DIV/0!</v>
      </c>
      <c r="P27" s="39" t="e">
        <f t="shared" si="2"/>
        <v>#DIV/0!</v>
      </c>
      <c r="Q27" s="39" t="e">
        <f t="shared" si="4"/>
        <v>#DIV/0!</v>
      </c>
      <c r="R27" s="39" t="e">
        <f t="shared" si="4"/>
        <v>#DIV/0!</v>
      </c>
      <c r="S27" s="39" t="e">
        <f t="shared" si="4"/>
        <v>#DIV/0!</v>
      </c>
      <c r="T27" s="39" t="e">
        <f t="shared" si="4"/>
        <v>#DIV/0!</v>
      </c>
      <c r="U27" s="39" t="e">
        <f t="shared" si="2"/>
        <v>#DIV/0!</v>
      </c>
      <c r="V27" s="39" t="e">
        <f t="shared" si="2"/>
        <v>#DIV/0!</v>
      </c>
      <c r="W27"/>
    </row>
    <row r="28" spans="1:23" ht="15.75" thickBot="1">
      <c r="A28" s="39" t="s">
        <v>1595</v>
      </c>
      <c r="B28" s="717">
        <v>1.4</v>
      </c>
      <c r="C28" s="739"/>
      <c r="D28" s="39">
        <f t="shared" si="3"/>
        <v>1.7</v>
      </c>
      <c r="E28" s="39" t="e">
        <f t="shared" si="0"/>
        <v>#DIV/0!</v>
      </c>
      <c r="F28" s="39" t="e">
        <f t="shared" si="0"/>
        <v>#DIV/0!</v>
      </c>
      <c r="G28" s="39" t="e">
        <f t="shared" si="0"/>
        <v>#DIV/0!</v>
      </c>
      <c r="H28" s="39" t="e">
        <f t="shared" si="0"/>
        <v>#DIV/0!</v>
      </c>
      <c r="I28" s="39">
        <f>Профдекор[[#This Row],[ПВХ_Стандарт]]</f>
        <v>1.7</v>
      </c>
      <c r="J28" s="39" t="e">
        <f t="shared" si="0"/>
        <v>#DIV/0!</v>
      </c>
      <c r="K28" s="39" t="e">
        <f t="shared" si="0"/>
        <v>#DIV/0!</v>
      </c>
      <c r="L28" s="39" t="e">
        <f t="shared" si="0"/>
        <v>#DIV/0!</v>
      </c>
      <c r="M28" s="39" t="e">
        <f t="shared" si="0"/>
        <v>#DIV/0!</v>
      </c>
      <c r="N28" s="39" t="e">
        <f t="shared" si="0"/>
        <v>#DIV/0!</v>
      </c>
      <c r="O28" s="39" t="e">
        <f t="shared" si="1"/>
        <v>#DIV/0!</v>
      </c>
      <c r="P28" s="39" t="e">
        <f t="shared" si="2"/>
        <v>#DIV/0!</v>
      </c>
      <c r="Q28" s="39" t="e">
        <f t="shared" si="4"/>
        <v>#DIV/0!</v>
      </c>
      <c r="R28" s="39" t="e">
        <f t="shared" si="4"/>
        <v>#DIV/0!</v>
      </c>
      <c r="S28" s="39" t="e">
        <f t="shared" si="4"/>
        <v>#DIV/0!</v>
      </c>
      <c r="T28" s="39" t="e">
        <f t="shared" si="4"/>
        <v>#DIV/0!</v>
      </c>
      <c r="U28" s="39" t="e">
        <f t="shared" si="2"/>
        <v>#DIV/0!</v>
      </c>
      <c r="V28" s="39" t="e">
        <f t="shared" si="2"/>
        <v>#DIV/0!</v>
      </c>
      <c r="W28"/>
    </row>
    <row r="29" spans="1:23" ht="15.75" thickBot="1">
      <c r="A29" s="685"/>
      <c r="B29" s="717"/>
      <c r="C29" s="739"/>
      <c r="D29" s="39"/>
      <c r="E29" s="39"/>
      <c r="F29" s="39"/>
      <c r="G29" s="39"/>
      <c r="H29" s="39"/>
      <c r="O29" s="39" t="e">
        <f t="shared" si="1"/>
        <v>#DIV/0!</v>
      </c>
      <c r="P29" s="39" t="e">
        <f t="shared" si="2"/>
        <v>#DIV/0!</v>
      </c>
      <c r="Q29" s="39"/>
      <c r="W29"/>
    </row>
    <row r="30" spans="1:23" ht="15.75" thickBot="1">
      <c r="A30" s="808" t="s">
        <v>1639</v>
      </c>
      <c r="B30" s="717">
        <v>1.4</v>
      </c>
      <c r="C30" s="739"/>
      <c r="D30" s="39" t="e">
        <f t="shared" si="0"/>
        <v>#DIV/0!</v>
      </c>
      <c r="E30" s="39">
        <v>3.5</v>
      </c>
      <c r="F30" s="39" t="e">
        <f t="shared" si="0"/>
        <v>#DIV/0!</v>
      </c>
      <c r="G30" s="39" t="e">
        <f t="shared" si="0"/>
        <v>#DIV/0!</v>
      </c>
      <c r="H30" s="39" t="e">
        <f t="shared" si="0"/>
        <v>#DIV/0!</v>
      </c>
      <c r="I30" s="39" t="e">
        <f t="shared" si="0"/>
        <v>#DIV/0!</v>
      </c>
      <c r="J30" s="39" t="e">
        <f t="shared" si="0"/>
        <v>#DIV/0!</v>
      </c>
      <c r="K30" s="39" t="e">
        <f t="shared" si="0"/>
        <v>#DIV/0!</v>
      </c>
      <c r="L30" s="39" t="e">
        <f t="shared" si="0"/>
        <v>#DIV/0!</v>
      </c>
      <c r="M30" s="39" t="e">
        <f t="shared" si="0"/>
        <v>#DIV/0!</v>
      </c>
      <c r="N30" s="39" t="e">
        <f t="shared" si="0"/>
        <v>#DIV/0!</v>
      </c>
      <c r="O30" s="39" t="e">
        <f t="shared" si="1"/>
        <v>#DIV/0!</v>
      </c>
      <c r="P30" s="39" t="e">
        <f t="shared" si="2"/>
        <v>#DIV/0!</v>
      </c>
      <c r="Q30" s="39" t="e">
        <f t="shared" si="4"/>
        <v>#DIV/0!</v>
      </c>
      <c r="R30" s="39" t="e">
        <f t="shared" si="4"/>
        <v>#DIV/0!</v>
      </c>
      <c r="S30" s="39" t="e">
        <f t="shared" si="4"/>
        <v>#DIV/0!</v>
      </c>
      <c r="T30" s="39" t="e">
        <f t="shared" si="4"/>
        <v>#DIV/0!</v>
      </c>
      <c r="U30" s="39" t="e">
        <f t="shared" si="2"/>
        <v>#DIV/0!</v>
      </c>
      <c r="V30" s="39" t="e">
        <f t="shared" si="2"/>
        <v>#DIV/0!</v>
      </c>
      <c r="W30"/>
    </row>
    <row r="31" spans="1:23" s="39" customFormat="1" ht="15.75" thickBot="1">
      <c r="A31" s="798" t="s">
        <v>1608</v>
      </c>
      <c r="B31" s="717">
        <v>1.4</v>
      </c>
      <c r="C31" s="799"/>
      <c r="D31" s="39" t="e">
        <f t="shared" si="0"/>
        <v>#DIV/0!</v>
      </c>
      <c r="E31" s="39" t="e">
        <f t="shared" si="0"/>
        <v>#DIV/0!</v>
      </c>
      <c r="F31" s="39" t="e">
        <f t="shared" si="0"/>
        <v>#DIV/0!</v>
      </c>
      <c r="G31" s="39" t="e">
        <f t="shared" si="0"/>
        <v>#DIV/0!</v>
      </c>
      <c r="H31" s="39" t="e">
        <f t="shared" si="0"/>
        <v>#DIV/0!</v>
      </c>
      <c r="I31" s="39" t="e">
        <f t="shared" si="0"/>
        <v>#DIV/0!</v>
      </c>
      <c r="J31" s="39" t="e">
        <f t="shared" si="0"/>
        <v>#DIV/0!</v>
      </c>
      <c r="K31" s="39" t="e">
        <f t="shared" si="0"/>
        <v>#DIV/0!</v>
      </c>
      <c r="L31" s="39" t="e">
        <f t="shared" si="0"/>
        <v>#DIV/0!</v>
      </c>
      <c r="M31" s="39" t="e">
        <f t="shared" si="0"/>
        <v>#DIV/0!</v>
      </c>
      <c r="N31" s="39" t="e">
        <f t="shared" si="0"/>
        <v>#DIV/0!</v>
      </c>
      <c r="O31" s="39" t="e">
        <f t="shared" si="1"/>
        <v>#DIV/0!</v>
      </c>
      <c r="P31" s="39" t="e">
        <f t="shared" si="2"/>
        <v>#DIV/0!</v>
      </c>
      <c r="Q31" s="39" t="e">
        <f t="shared" si="4"/>
        <v>#DIV/0!</v>
      </c>
      <c r="R31" s="39" t="e">
        <f t="shared" si="4"/>
        <v>#DIV/0!</v>
      </c>
      <c r="S31" s="39" t="e">
        <f t="shared" si="4"/>
        <v>#DIV/0!</v>
      </c>
      <c r="T31" s="39" t="e">
        <f t="shared" si="4"/>
        <v>#DIV/0!</v>
      </c>
      <c r="U31" s="39" t="e">
        <f t="shared" si="2"/>
        <v>#DIV/0!</v>
      </c>
      <c r="V31" s="39" t="e">
        <f t="shared" si="2"/>
        <v>#DIV/0!</v>
      </c>
    </row>
    <row r="32" spans="1:23" s="39" customFormat="1" ht="15.75" thickBot="1">
      <c r="A32" s="808" t="s">
        <v>1640</v>
      </c>
      <c r="B32" s="717">
        <v>1.4</v>
      </c>
      <c r="C32" s="739"/>
      <c r="D32" s="39" t="e">
        <f t="shared" ref="D32:H120" si="5">1/0</f>
        <v>#DIV/0!</v>
      </c>
      <c r="E32" s="39">
        <v>3.5</v>
      </c>
      <c r="F32" s="39" t="e">
        <f t="shared" ref="E32:N53" si="6">1/0</f>
        <v>#DIV/0!</v>
      </c>
      <c r="G32" s="39" t="e">
        <f t="shared" si="6"/>
        <v>#DIV/0!</v>
      </c>
      <c r="H32" s="39" t="e">
        <f t="shared" si="6"/>
        <v>#DIV/0!</v>
      </c>
      <c r="I32" s="39" t="e">
        <f t="shared" si="6"/>
        <v>#DIV/0!</v>
      </c>
      <c r="J32" s="39" t="e">
        <f t="shared" si="6"/>
        <v>#DIV/0!</v>
      </c>
      <c r="K32" s="39" t="e">
        <f t="shared" si="6"/>
        <v>#DIV/0!</v>
      </c>
      <c r="L32" s="39" t="e">
        <f t="shared" si="6"/>
        <v>#DIV/0!</v>
      </c>
      <c r="M32" s="39" t="e">
        <f t="shared" si="6"/>
        <v>#DIV/0!</v>
      </c>
      <c r="N32" s="39" t="e">
        <f t="shared" si="6"/>
        <v>#DIV/0!</v>
      </c>
      <c r="O32" s="39" t="e">
        <f t="shared" si="1"/>
        <v>#DIV/0!</v>
      </c>
      <c r="P32" s="39" t="e">
        <f t="shared" si="2"/>
        <v>#DIV/0!</v>
      </c>
      <c r="Q32" s="39" t="e">
        <f t="shared" si="4"/>
        <v>#DIV/0!</v>
      </c>
      <c r="R32" s="39" t="e">
        <f t="shared" si="4"/>
        <v>#DIV/0!</v>
      </c>
      <c r="S32" s="39" t="e">
        <f t="shared" si="4"/>
        <v>#DIV/0!</v>
      </c>
      <c r="T32" s="39" t="e">
        <f t="shared" si="4"/>
        <v>#DIV/0!</v>
      </c>
      <c r="U32" s="39" t="e">
        <f t="shared" si="4"/>
        <v>#DIV/0!</v>
      </c>
      <c r="V32" s="39" t="e">
        <f t="shared" si="4"/>
        <v>#DIV/0!</v>
      </c>
    </row>
    <row r="33" spans="1:23" s="39" customFormat="1" ht="15.75" thickBot="1">
      <c r="A33" s="39" t="s">
        <v>1609</v>
      </c>
      <c r="B33" s="717">
        <v>1.4</v>
      </c>
      <c r="C33" s="799"/>
      <c r="D33" s="39" t="e">
        <f t="shared" ref="D33:V34" si="7">1/0</f>
        <v>#DIV/0!</v>
      </c>
      <c r="E33" s="39" t="e">
        <f t="shared" si="5"/>
        <v>#DIV/0!</v>
      </c>
      <c r="F33" s="39" t="e">
        <f t="shared" si="7"/>
        <v>#DIV/0!</v>
      </c>
      <c r="G33" s="39" t="e">
        <f t="shared" si="7"/>
        <v>#DIV/0!</v>
      </c>
      <c r="H33" s="39" t="e">
        <f t="shared" si="7"/>
        <v>#DIV/0!</v>
      </c>
      <c r="I33" s="39" t="e">
        <f t="shared" si="7"/>
        <v>#DIV/0!</v>
      </c>
      <c r="J33" s="39" t="e">
        <f t="shared" si="7"/>
        <v>#DIV/0!</v>
      </c>
      <c r="K33" s="39" t="e">
        <f t="shared" si="7"/>
        <v>#DIV/0!</v>
      </c>
      <c r="L33" s="39" t="e">
        <f t="shared" si="7"/>
        <v>#DIV/0!</v>
      </c>
      <c r="M33" s="39" t="e">
        <f t="shared" si="7"/>
        <v>#DIV/0!</v>
      </c>
      <c r="N33" s="39" t="e">
        <f t="shared" si="7"/>
        <v>#DIV/0!</v>
      </c>
      <c r="O33" s="39" t="e">
        <f t="shared" si="7"/>
        <v>#DIV/0!</v>
      </c>
      <c r="P33" s="39" t="e">
        <f t="shared" si="7"/>
        <v>#DIV/0!</v>
      </c>
      <c r="Q33" s="39" t="e">
        <f t="shared" si="7"/>
        <v>#DIV/0!</v>
      </c>
      <c r="R33" s="39" t="e">
        <f t="shared" si="7"/>
        <v>#DIV/0!</v>
      </c>
      <c r="S33" s="39" t="e">
        <f t="shared" si="7"/>
        <v>#DIV/0!</v>
      </c>
      <c r="T33" s="39" t="e">
        <f t="shared" si="7"/>
        <v>#DIV/0!</v>
      </c>
      <c r="U33" s="39" t="e">
        <f t="shared" si="7"/>
        <v>#DIV/0!</v>
      </c>
      <c r="V33" s="39" t="e">
        <f t="shared" si="7"/>
        <v>#DIV/0!</v>
      </c>
    </row>
    <row r="34" spans="1:23" s="39" customFormat="1" ht="15.75" thickBot="1">
      <c r="A34" s="39" t="s">
        <v>1610</v>
      </c>
      <c r="B34" s="717">
        <v>1.4</v>
      </c>
      <c r="C34" s="799"/>
      <c r="D34" s="39" t="e">
        <f t="shared" si="7"/>
        <v>#DIV/0!</v>
      </c>
      <c r="E34" s="39" t="e">
        <f t="shared" si="5"/>
        <v>#DIV/0!</v>
      </c>
      <c r="F34" s="39" t="e">
        <f t="shared" si="7"/>
        <v>#DIV/0!</v>
      </c>
      <c r="G34" s="39" t="e">
        <f t="shared" si="7"/>
        <v>#DIV/0!</v>
      </c>
      <c r="H34" s="39" t="e">
        <f t="shared" si="7"/>
        <v>#DIV/0!</v>
      </c>
      <c r="I34" s="39" t="e">
        <f t="shared" si="7"/>
        <v>#DIV/0!</v>
      </c>
      <c r="J34" s="39" t="e">
        <f t="shared" si="7"/>
        <v>#DIV/0!</v>
      </c>
      <c r="K34" s="39" t="e">
        <f t="shared" si="7"/>
        <v>#DIV/0!</v>
      </c>
      <c r="L34" s="39" t="e">
        <f t="shared" si="7"/>
        <v>#DIV/0!</v>
      </c>
      <c r="M34" s="39" t="e">
        <f t="shared" si="7"/>
        <v>#DIV/0!</v>
      </c>
      <c r="N34" s="39" t="e">
        <f t="shared" si="7"/>
        <v>#DIV/0!</v>
      </c>
      <c r="O34" s="39" t="e">
        <f t="shared" si="7"/>
        <v>#DIV/0!</v>
      </c>
      <c r="P34" s="39" t="e">
        <f t="shared" si="7"/>
        <v>#DIV/0!</v>
      </c>
      <c r="Q34" s="39" t="e">
        <f t="shared" si="7"/>
        <v>#DIV/0!</v>
      </c>
      <c r="R34" s="39" t="e">
        <f t="shared" si="7"/>
        <v>#DIV/0!</v>
      </c>
      <c r="S34" s="39" t="e">
        <f t="shared" si="7"/>
        <v>#DIV/0!</v>
      </c>
      <c r="T34" s="39" t="e">
        <f t="shared" si="7"/>
        <v>#DIV/0!</v>
      </c>
      <c r="U34" s="39" t="e">
        <f t="shared" si="7"/>
        <v>#DIV/0!</v>
      </c>
      <c r="V34" s="39" t="e">
        <f t="shared" si="7"/>
        <v>#DIV/0!</v>
      </c>
    </row>
    <row r="35" spans="1:23" ht="15.75" thickBot="1">
      <c r="A35" s="39" t="s">
        <v>1611</v>
      </c>
      <c r="B35" s="717">
        <v>1.4</v>
      </c>
      <c r="C35" s="739"/>
      <c r="D35" s="39" t="e">
        <f t="shared" si="5"/>
        <v>#DIV/0!</v>
      </c>
      <c r="E35" s="39" t="e">
        <f t="shared" si="5"/>
        <v>#DIV/0!</v>
      </c>
      <c r="F35" s="39" t="e">
        <f t="shared" si="6"/>
        <v>#DIV/0!</v>
      </c>
      <c r="G35" s="39" t="e">
        <f t="shared" si="6"/>
        <v>#DIV/0!</v>
      </c>
      <c r="H35" s="39" t="e">
        <f t="shared" si="6"/>
        <v>#DIV/0!</v>
      </c>
      <c r="I35" s="39" t="e">
        <f t="shared" si="6"/>
        <v>#DIV/0!</v>
      </c>
      <c r="J35" s="39" t="e">
        <f t="shared" si="6"/>
        <v>#DIV/0!</v>
      </c>
      <c r="K35" s="39" t="e">
        <f t="shared" si="6"/>
        <v>#DIV/0!</v>
      </c>
      <c r="L35" s="39" t="e">
        <f t="shared" si="6"/>
        <v>#DIV/0!</v>
      </c>
      <c r="M35" s="39" t="e">
        <f t="shared" si="6"/>
        <v>#DIV/0!</v>
      </c>
      <c r="N35" s="39" t="e">
        <f t="shared" si="6"/>
        <v>#DIV/0!</v>
      </c>
      <c r="O35" s="39" t="e">
        <f t="shared" si="1"/>
        <v>#DIV/0!</v>
      </c>
      <c r="P35" s="39" t="e">
        <f t="shared" si="2"/>
        <v>#DIV/0!</v>
      </c>
      <c r="Q35" s="39" t="e">
        <f t="shared" si="4"/>
        <v>#DIV/0!</v>
      </c>
      <c r="R35" s="39" t="e">
        <f t="shared" si="4"/>
        <v>#DIV/0!</v>
      </c>
      <c r="S35" s="39" t="e">
        <f t="shared" si="4"/>
        <v>#DIV/0!</v>
      </c>
      <c r="T35" s="39" t="e">
        <f t="shared" si="4"/>
        <v>#DIV/0!</v>
      </c>
      <c r="U35" s="39" t="e">
        <f t="shared" si="4"/>
        <v>#DIV/0!</v>
      </c>
      <c r="V35" s="39" t="e">
        <f t="shared" si="4"/>
        <v>#DIV/0!</v>
      </c>
      <c r="W35"/>
    </row>
    <row r="36" spans="1:23" ht="15.75" thickBot="1">
      <c r="A36" s="39" t="s">
        <v>1612</v>
      </c>
      <c r="B36" s="717">
        <v>1.4</v>
      </c>
      <c r="C36" s="739"/>
      <c r="D36" s="39" t="e">
        <f t="shared" si="5"/>
        <v>#DIV/0!</v>
      </c>
      <c r="E36" s="39" t="e">
        <f t="shared" si="6"/>
        <v>#DIV/0!</v>
      </c>
      <c r="F36" s="39" t="e">
        <f t="shared" si="6"/>
        <v>#DIV/0!</v>
      </c>
      <c r="G36" s="39" t="e">
        <f t="shared" si="6"/>
        <v>#DIV/0!</v>
      </c>
      <c r="H36" s="39" t="e">
        <f t="shared" si="6"/>
        <v>#DIV/0!</v>
      </c>
      <c r="I36" s="39" t="e">
        <f t="shared" si="6"/>
        <v>#DIV/0!</v>
      </c>
      <c r="J36" s="39" t="e">
        <f t="shared" si="6"/>
        <v>#DIV/0!</v>
      </c>
      <c r="K36" s="39" t="e">
        <f t="shared" si="6"/>
        <v>#DIV/0!</v>
      </c>
      <c r="L36" s="39" t="e">
        <f t="shared" si="6"/>
        <v>#DIV/0!</v>
      </c>
      <c r="M36" s="39" t="e">
        <f t="shared" si="6"/>
        <v>#DIV/0!</v>
      </c>
      <c r="N36" s="39" t="e">
        <f t="shared" si="6"/>
        <v>#DIV/0!</v>
      </c>
      <c r="O36" s="39" t="e">
        <f t="shared" si="1"/>
        <v>#DIV/0!</v>
      </c>
      <c r="P36" s="39" t="e">
        <f t="shared" si="1"/>
        <v>#DIV/0!</v>
      </c>
      <c r="Q36" s="39" t="e">
        <f t="shared" si="4"/>
        <v>#DIV/0!</v>
      </c>
      <c r="R36" s="39" t="e">
        <f t="shared" si="4"/>
        <v>#DIV/0!</v>
      </c>
      <c r="S36" s="39" t="e">
        <f t="shared" si="4"/>
        <v>#DIV/0!</v>
      </c>
      <c r="T36" s="39" t="e">
        <f t="shared" si="4"/>
        <v>#DIV/0!</v>
      </c>
      <c r="U36" s="39" t="e">
        <f t="shared" si="4"/>
        <v>#DIV/0!</v>
      </c>
      <c r="V36" s="39" t="e">
        <f t="shared" si="4"/>
        <v>#DIV/0!</v>
      </c>
      <c r="W36"/>
    </row>
    <row r="37" spans="1:23" ht="15.75" thickBot="1">
      <c r="B37" s="717"/>
      <c r="C37" s="739"/>
      <c r="D37" s="39" t="e">
        <f t="shared" si="5"/>
        <v>#DIV/0!</v>
      </c>
      <c r="E37" s="39" t="e">
        <f t="shared" si="5"/>
        <v>#DIV/0!</v>
      </c>
      <c r="F37" s="39" t="e">
        <f t="shared" si="6"/>
        <v>#DIV/0!</v>
      </c>
      <c r="G37" s="39" t="e">
        <f t="shared" si="6"/>
        <v>#DIV/0!</v>
      </c>
      <c r="H37" s="39" t="e">
        <f t="shared" si="6"/>
        <v>#DIV/0!</v>
      </c>
      <c r="I37" s="39" t="e">
        <f t="shared" si="6"/>
        <v>#DIV/0!</v>
      </c>
      <c r="J37" s="39" t="e">
        <f t="shared" si="6"/>
        <v>#DIV/0!</v>
      </c>
      <c r="K37" s="39" t="e">
        <f t="shared" si="6"/>
        <v>#DIV/0!</v>
      </c>
      <c r="L37" s="39" t="e">
        <f t="shared" si="6"/>
        <v>#DIV/0!</v>
      </c>
      <c r="M37" s="39" t="e">
        <f t="shared" si="6"/>
        <v>#DIV/0!</v>
      </c>
      <c r="N37" s="39" t="e">
        <f t="shared" si="6"/>
        <v>#DIV/0!</v>
      </c>
      <c r="O37" s="39" t="e">
        <f t="shared" si="1"/>
        <v>#DIV/0!</v>
      </c>
      <c r="P37" s="39" t="e">
        <f t="shared" si="1"/>
        <v>#DIV/0!</v>
      </c>
      <c r="Q37" s="39" t="e">
        <f t="shared" si="4"/>
        <v>#DIV/0!</v>
      </c>
      <c r="R37" s="39" t="e">
        <f t="shared" si="4"/>
        <v>#DIV/0!</v>
      </c>
      <c r="S37" s="39" t="e">
        <f t="shared" si="4"/>
        <v>#DIV/0!</v>
      </c>
      <c r="T37" s="39" t="e">
        <f t="shared" si="4"/>
        <v>#DIV/0!</v>
      </c>
      <c r="U37" s="39" t="e">
        <f t="shared" si="4"/>
        <v>#DIV/0!</v>
      </c>
      <c r="V37" s="39" t="e">
        <f t="shared" si="4"/>
        <v>#DIV/0!</v>
      </c>
      <c r="W37"/>
    </row>
    <row r="38" spans="1:23" ht="15.75" thickBot="1">
      <c r="A38" s="39" t="s">
        <v>1596</v>
      </c>
      <c r="B38" s="717">
        <v>1.4</v>
      </c>
      <c r="C38" s="739"/>
      <c r="D38" s="39" t="e">
        <f t="shared" si="5"/>
        <v>#DIV/0!</v>
      </c>
      <c r="E38" s="39" t="e">
        <f t="shared" si="5"/>
        <v>#DIV/0!</v>
      </c>
      <c r="F38" s="39">
        <v>3.9</v>
      </c>
      <c r="G38" s="39" t="e">
        <f t="shared" si="6"/>
        <v>#DIV/0!</v>
      </c>
      <c r="H38" s="39" t="e">
        <f t="shared" si="6"/>
        <v>#DIV/0!</v>
      </c>
      <c r="I38" s="39" t="e">
        <f t="shared" si="6"/>
        <v>#DIV/0!</v>
      </c>
      <c r="J38" s="39" t="e">
        <f t="shared" si="6"/>
        <v>#DIV/0!</v>
      </c>
      <c r="K38" s="39" t="e">
        <f t="shared" si="6"/>
        <v>#DIV/0!</v>
      </c>
      <c r="L38" s="39" t="e">
        <f t="shared" si="6"/>
        <v>#DIV/0!</v>
      </c>
      <c r="M38" s="39" t="e">
        <f t="shared" si="6"/>
        <v>#DIV/0!</v>
      </c>
      <c r="N38" s="39" t="e">
        <f t="shared" si="6"/>
        <v>#DIV/0!</v>
      </c>
      <c r="O38" s="39" t="e">
        <f t="shared" si="1"/>
        <v>#DIV/0!</v>
      </c>
      <c r="P38" s="39" t="e">
        <f t="shared" si="1"/>
        <v>#DIV/0!</v>
      </c>
      <c r="Q38" s="39" t="e">
        <f t="shared" ref="Q38:V57" si="8">1/0</f>
        <v>#DIV/0!</v>
      </c>
      <c r="R38" s="39" t="e">
        <f t="shared" si="8"/>
        <v>#DIV/0!</v>
      </c>
      <c r="S38" s="39" t="e">
        <f t="shared" si="8"/>
        <v>#DIV/0!</v>
      </c>
      <c r="T38" s="39" t="e">
        <f t="shared" si="8"/>
        <v>#DIV/0!</v>
      </c>
      <c r="U38" s="39" t="e">
        <f t="shared" si="4"/>
        <v>#DIV/0!</v>
      </c>
      <c r="V38" s="39" t="e">
        <f t="shared" si="4"/>
        <v>#DIV/0!</v>
      </c>
      <c r="W38"/>
    </row>
    <row r="39" spans="1:23" ht="15.75" thickBot="1">
      <c r="A39" s="39" t="s">
        <v>1597</v>
      </c>
      <c r="B39" s="717">
        <v>1.4</v>
      </c>
      <c r="C39" s="739"/>
      <c r="D39" s="39" t="e">
        <f t="shared" si="5"/>
        <v>#DIV/0!</v>
      </c>
      <c r="E39" s="39" t="e">
        <f t="shared" si="5"/>
        <v>#DIV/0!</v>
      </c>
      <c r="F39" s="39">
        <v>3.9</v>
      </c>
      <c r="G39" s="39" t="e">
        <f t="shared" si="6"/>
        <v>#DIV/0!</v>
      </c>
      <c r="H39" s="39" t="e">
        <f t="shared" si="6"/>
        <v>#DIV/0!</v>
      </c>
      <c r="I39" s="39" t="e">
        <f t="shared" si="6"/>
        <v>#DIV/0!</v>
      </c>
      <c r="J39" s="39" t="e">
        <f t="shared" si="6"/>
        <v>#DIV/0!</v>
      </c>
      <c r="K39" s="39" t="e">
        <f t="shared" si="6"/>
        <v>#DIV/0!</v>
      </c>
      <c r="L39" s="39" t="e">
        <f t="shared" si="6"/>
        <v>#DIV/0!</v>
      </c>
      <c r="M39" s="39" t="e">
        <f t="shared" si="6"/>
        <v>#DIV/0!</v>
      </c>
      <c r="N39" s="39" t="e">
        <f t="shared" si="6"/>
        <v>#DIV/0!</v>
      </c>
      <c r="O39" s="39" t="e">
        <f t="shared" si="1"/>
        <v>#DIV/0!</v>
      </c>
      <c r="P39" s="39" t="e">
        <f t="shared" si="1"/>
        <v>#DIV/0!</v>
      </c>
      <c r="Q39" s="39" t="e">
        <f t="shared" si="8"/>
        <v>#DIV/0!</v>
      </c>
      <c r="R39" s="39" t="e">
        <f t="shared" si="8"/>
        <v>#DIV/0!</v>
      </c>
      <c r="S39" s="39" t="e">
        <f t="shared" si="8"/>
        <v>#DIV/0!</v>
      </c>
      <c r="T39" s="39" t="e">
        <f t="shared" si="8"/>
        <v>#DIV/0!</v>
      </c>
      <c r="U39" s="39" t="e">
        <f t="shared" si="4"/>
        <v>#DIV/0!</v>
      </c>
      <c r="V39" s="39" t="e">
        <f t="shared" si="4"/>
        <v>#DIV/0!</v>
      </c>
      <c r="W39"/>
    </row>
    <row r="40" spans="1:23" ht="15.75" thickBot="1">
      <c r="A40" s="39" t="s">
        <v>1598</v>
      </c>
      <c r="B40" s="717">
        <v>1.4</v>
      </c>
      <c r="C40" s="739"/>
      <c r="D40" s="39" t="e">
        <f t="shared" si="5"/>
        <v>#DIV/0!</v>
      </c>
      <c r="E40" s="39" t="e">
        <f t="shared" si="5"/>
        <v>#DIV/0!</v>
      </c>
      <c r="F40" s="39">
        <v>3.9</v>
      </c>
      <c r="G40" s="39" t="e">
        <f t="shared" si="6"/>
        <v>#DIV/0!</v>
      </c>
      <c r="H40" s="39" t="e">
        <f t="shared" si="6"/>
        <v>#DIV/0!</v>
      </c>
      <c r="I40" s="39" t="e">
        <f t="shared" si="6"/>
        <v>#DIV/0!</v>
      </c>
      <c r="J40" s="39" t="e">
        <f t="shared" si="6"/>
        <v>#DIV/0!</v>
      </c>
      <c r="K40" s="39" t="e">
        <f t="shared" si="6"/>
        <v>#DIV/0!</v>
      </c>
      <c r="L40" s="39" t="e">
        <f t="shared" si="6"/>
        <v>#DIV/0!</v>
      </c>
      <c r="M40" s="39" t="e">
        <f t="shared" si="6"/>
        <v>#DIV/0!</v>
      </c>
      <c r="N40" s="39" t="e">
        <f t="shared" si="6"/>
        <v>#DIV/0!</v>
      </c>
      <c r="O40" s="39" t="e">
        <f t="shared" si="1"/>
        <v>#DIV/0!</v>
      </c>
      <c r="P40" s="39" t="e">
        <f t="shared" si="1"/>
        <v>#DIV/0!</v>
      </c>
      <c r="Q40" s="39" t="e">
        <f t="shared" si="8"/>
        <v>#DIV/0!</v>
      </c>
      <c r="R40" s="39" t="e">
        <f t="shared" si="8"/>
        <v>#DIV/0!</v>
      </c>
      <c r="S40" s="39" t="e">
        <f t="shared" si="8"/>
        <v>#DIV/0!</v>
      </c>
      <c r="T40" s="39" t="e">
        <f t="shared" si="8"/>
        <v>#DIV/0!</v>
      </c>
      <c r="U40" s="39" t="e">
        <f t="shared" si="4"/>
        <v>#DIV/0!</v>
      </c>
      <c r="V40" s="39" t="e">
        <f t="shared" si="4"/>
        <v>#DIV/0!</v>
      </c>
      <c r="W40"/>
    </row>
    <row r="41" spans="1:23" ht="15.75" thickBot="1">
      <c r="B41" s="717"/>
      <c r="C41" s="739"/>
      <c r="D41" s="39" t="e">
        <f t="shared" si="5"/>
        <v>#DIV/0!</v>
      </c>
      <c r="E41" s="39" t="e">
        <f t="shared" si="5"/>
        <v>#DIV/0!</v>
      </c>
      <c r="F41" s="39" t="e">
        <f t="shared" si="5"/>
        <v>#DIV/0!</v>
      </c>
      <c r="G41" s="39" t="e">
        <f t="shared" si="6"/>
        <v>#DIV/0!</v>
      </c>
      <c r="H41" s="39" t="e">
        <f t="shared" si="6"/>
        <v>#DIV/0!</v>
      </c>
      <c r="I41" s="39" t="e">
        <f t="shared" si="6"/>
        <v>#DIV/0!</v>
      </c>
      <c r="J41" s="39" t="e">
        <f t="shared" si="6"/>
        <v>#DIV/0!</v>
      </c>
      <c r="K41" s="39" t="e">
        <f t="shared" si="6"/>
        <v>#DIV/0!</v>
      </c>
      <c r="L41" s="39" t="e">
        <f t="shared" si="6"/>
        <v>#DIV/0!</v>
      </c>
      <c r="M41" s="39" t="e">
        <f t="shared" si="6"/>
        <v>#DIV/0!</v>
      </c>
      <c r="N41" s="39" t="e">
        <f t="shared" si="6"/>
        <v>#DIV/0!</v>
      </c>
      <c r="O41" s="39" t="e">
        <f t="shared" si="1"/>
        <v>#DIV/0!</v>
      </c>
      <c r="P41" s="39" t="e">
        <f t="shared" si="1"/>
        <v>#DIV/0!</v>
      </c>
      <c r="Q41" s="39" t="e">
        <f t="shared" si="8"/>
        <v>#DIV/0!</v>
      </c>
      <c r="R41" s="39" t="e">
        <f t="shared" si="8"/>
        <v>#DIV/0!</v>
      </c>
      <c r="S41" s="39" t="e">
        <f t="shared" si="8"/>
        <v>#DIV/0!</v>
      </c>
      <c r="T41" s="39" t="e">
        <f t="shared" si="8"/>
        <v>#DIV/0!</v>
      </c>
      <c r="U41" s="39" t="e">
        <f t="shared" si="4"/>
        <v>#DIV/0!</v>
      </c>
      <c r="V41" s="39" t="e">
        <f t="shared" si="4"/>
        <v>#DIV/0!</v>
      </c>
      <c r="W41"/>
    </row>
    <row r="42" spans="1:23" ht="15.75" thickBot="1">
      <c r="A42" s="808" t="s">
        <v>1453</v>
      </c>
      <c r="B42" s="717">
        <v>1.4</v>
      </c>
      <c r="C42" s="739"/>
      <c r="D42" s="39" t="e">
        <f t="shared" si="5"/>
        <v>#DIV/0!</v>
      </c>
      <c r="E42" s="39" t="e">
        <f t="shared" si="5"/>
        <v>#DIV/0!</v>
      </c>
      <c r="F42" s="39" t="e">
        <f t="shared" si="5"/>
        <v>#DIV/0!</v>
      </c>
      <c r="G42" s="39">
        <v>3.05</v>
      </c>
      <c r="H42" s="39" t="e">
        <f t="shared" si="6"/>
        <v>#DIV/0!</v>
      </c>
      <c r="I42" s="39" t="e">
        <f t="shared" si="6"/>
        <v>#DIV/0!</v>
      </c>
      <c r="J42" s="39" t="e">
        <f t="shared" si="6"/>
        <v>#DIV/0!</v>
      </c>
      <c r="K42" s="39" t="e">
        <f t="shared" si="6"/>
        <v>#DIV/0!</v>
      </c>
      <c r="L42" s="39" t="e">
        <f t="shared" si="6"/>
        <v>#DIV/0!</v>
      </c>
      <c r="M42" s="39" t="e">
        <f t="shared" si="6"/>
        <v>#DIV/0!</v>
      </c>
      <c r="N42" s="39" t="e">
        <f t="shared" si="6"/>
        <v>#DIV/0!</v>
      </c>
      <c r="O42" s="39" t="e">
        <f t="shared" si="1"/>
        <v>#DIV/0!</v>
      </c>
      <c r="P42" s="39" t="e">
        <f t="shared" si="1"/>
        <v>#DIV/0!</v>
      </c>
      <c r="Q42" s="39" t="e">
        <f t="shared" si="8"/>
        <v>#DIV/0!</v>
      </c>
      <c r="R42" s="39" t="e">
        <f t="shared" si="8"/>
        <v>#DIV/0!</v>
      </c>
      <c r="S42" s="39" t="e">
        <f t="shared" si="8"/>
        <v>#DIV/0!</v>
      </c>
      <c r="T42" s="39" t="e">
        <f t="shared" si="8"/>
        <v>#DIV/0!</v>
      </c>
      <c r="U42" s="39" t="e">
        <f t="shared" si="4"/>
        <v>#DIV/0!</v>
      </c>
      <c r="V42" s="39" t="e">
        <f t="shared" si="4"/>
        <v>#DIV/0!</v>
      </c>
      <c r="W42"/>
    </row>
    <row r="43" spans="1:23" s="39" customFormat="1" ht="15.75" thickBot="1">
      <c r="A43" s="808" t="s">
        <v>1455</v>
      </c>
      <c r="B43" s="717">
        <v>1.4</v>
      </c>
      <c r="C43" s="739"/>
      <c r="D43" s="39" t="e">
        <f t="shared" ref="D43:F43" si="9">1/0</f>
        <v>#DIV/0!</v>
      </c>
      <c r="E43" s="39" t="e">
        <f t="shared" si="9"/>
        <v>#DIV/0!</v>
      </c>
      <c r="F43" s="39" t="e">
        <f t="shared" si="9"/>
        <v>#DIV/0!</v>
      </c>
      <c r="G43" s="39">
        <v>2.95</v>
      </c>
      <c r="H43" s="39" t="e">
        <f t="shared" si="6"/>
        <v>#DIV/0!</v>
      </c>
      <c r="I43" s="39" t="e">
        <f t="shared" si="6"/>
        <v>#DIV/0!</v>
      </c>
      <c r="J43" s="39" t="e">
        <f t="shared" si="6"/>
        <v>#DIV/0!</v>
      </c>
      <c r="K43" s="39" t="e">
        <f t="shared" si="6"/>
        <v>#DIV/0!</v>
      </c>
      <c r="L43" s="39" t="e">
        <f t="shared" si="6"/>
        <v>#DIV/0!</v>
      </c>
      <c r="M43" s="39" t="e">
        <f t="shared" si="6"/>
        <v>#DIV/0!</v>
      </c>
      <c r="N43" s="39" t="e">
        <f t="shared" si="6"/>
        <v>#DIV/0!</v>
      </c>
      <c r="O43" s="39" t="e">
        <f t="shared" si="1"/>
        <v>#DIV/0!</v>
      </c>
      <c r="P43" s="39" t="e">
        <f t="shared" si="1"/>
        <v>#DIV/0!</v>
      </c>
      <c r="Q43" s="39" t="e">
        <f t="shared" si="8"/>
        <v>#DIV/0!</v>
      </c>
      <c r="R43" s="39" t="e">
        <f t="shared" si="8"/>
        <v>#DIV/0!</v>
      </c>
      <c r="S43" s="39" t="e">
        <f t="shared" si="8"/>
        <v>#DIV/0!</v>
      </c>
      <c r="T43" s="39" t="e">
        <f t="shared" si="8"/>
        <v>#DIV/0!</v>
      </c>
      <c r="U43" s="39" t="e">
        <f t="shared" si="4"/>
        <v>#DIV/0!</v>
      </c>
      <c r="V43" s="39" t="e">
        <f t="shared" si="4"/>
        <v>#DIV/0!</v>
      </c>
    </row>
    <row r="44" spans="1:23" ht="15.75" thickBot="1">
      <c r="A44" s="808" t="s">
        <v>1456</v>
      </c>
      <c r="B44" s="717">
        <v>1.4</v>
      </c>
      <c r="C44" s="739"/>
      <c r="D44" s="39" t="e">
        <f t="shared" si="5"/>
        <v>#DIV/0!</v>
      </c>
      <c r="E44" s="39" t="e">
        <f t="shared" si="5"/>
        <v>#DIV/0!</v>
      </c>
      <c r="F44" s="39" t="e">
        <f t="shared" si="5"/>
        <v>#DIV/0!</v>
      </c>
      <c r="G44" s="39">
        <v>3.1</v>
      </c>
      <c r="H44" s="39" t="e">
        <f t="shared" si="6"/>
        <v>#DIV/0!</v>
      </c>
      <c r="I44" s="39" t="e">
        <f t="shared" si="6"/>
        <v>#DIV/0!</v>
      </c>
      <c r="J44" s="39" t="e">
        <f t="shared" si="6"/>
        <v>#DIV/0!</v>
      </c>
      <c r="K44" s="39" t="e">
        <f t="shared" si="6"/>
        <v>#DIV/0!</v>
      </c>
      <c r="L44" s="39" t="e">
        <f t="shared" si="6"/>
        <v>#DIV/0!</v>
      </c>
      <c r="M44" s="39" t="e">
        <f t="shared" si="6"/>
        <v>#DIV/0!</v>
      </c>
      <c r="N44" s="39" t="e">
        <f t="shared" si="6"/>
        <v>#DIV/0!</v>
      </c>
      <c r="O44" s="39" t="e">
        <f t="shared" si="1"/>
        <v>#DIV/0!</v>
      </c>
      <c r="P44" s="39" t="e">
        <f t="shared" si="1"/>
        <v>#DIV/0!</v>
      </c>
      <c r="Q44" s="39" t="e">
        <f t="shared" si="8"/>
        <v>#DIV/0!</v>
      </c>
      <c r="R44" s="39" t="e">
        <f t="shared" si="8"/>
        <v>#DIV/0!</v>
      </c>
      <c r="S44" s="39" t="e">
        <f t="shared" si="8"/>
        <v>#DIV/0!</v>
      </c>
      <c r="T44" s="39" t="e">
        <f t="shared" si="8"/>
        <v>#DIV/0!</v>
      </c>
      <c r="U44" s="39" t="e">
        <f t="shared" si="8"/>
        <v>#DIV/0!</v>
      </c>
      <c r="V44" s="39" t="e">
        <f t="shared" si="8"/>
        <v>#DIV/0!</v>
      </c>
      <c r="W44"/>
    </row>
    <row r="45" spans="1:23" ht="15.75" thickBot="1">
      <c r="A45" s="808" t="s">
        <v>1457</v>
      </c>
      <c r="B45" s="717">
        <v>1.4</v>
      </c>
      <c r="C45" s="739"/>
      <c r="D45" s="39" t="e">
        <f t="shared" si="5"/>
        <v>#DIV/0!</v>
      </c>
      <c r="E45" s="39" t="e">
        <f t="shared" si="5"/>
        <v>#DIV/0!</v>
      </c>
      <c r="F45" s="39" t="e">
        <f t="shared" si="5"/>
        <v>#DIV/0!</v>
      </c>
      <c r="G45" s="39">
        <v>3.1</v>
      </c>
      <c r="H45" s="39" t="e">
        <f t="shared" si="6"/>
        <v>#DIV/0!</v>
      </c>
      <c r="I45" s="39" t="e">
        <f t="shared" si="6"/>
        <v>#DIV/0!</v>
      </c>
      <c r="J45" s="39" t="e">
        <f t="shared" si="6"/>
        <v>#DIV/0!</v>
      </c>
      <c r="K45" s="39" t="e">
        <f t="shared" si="6"/>
        <v>#DIV/0!</v>
      </c>
      <c r="L45" s="39" t="e">
        <f t="shared" si="6"/>
        <v>#DIV/0!</v>
      </c>
      <c r="M45" s="39" t="e">
        <f t="shared" si="6"/>
        <v>#DIV/0!</v>
      </c>
      <c r="N45" s="39" t="e">
        <f t="shared" si="6"/>
        <v>#DIV/0!</v>
      </c>
      <c r="O45" s="39" t="e">
        <f t="shared" si="1"/>
        <v>#DIV/0!</v>
      </c>
      <c r="P45" s="39" t="e">
        <f t="shared" si="1"/>
        <v>#DIV/0!</v>
      </c>
      <c r="Q45" s="39" t="e">
        <f t="shared" si="8"/>
        <v>#DIV/0!</v>
      </c>
      <c r="R45" s="39" t="e">
        <f t="shared" si="8"/>
        <v>#DIV/0!</v>
      </c>
      <c r="S45" s="39" t="e">
        <f t="shared" si="8"/>
        <v>#DIV/0!</v>
      </c>
      <c r="T45" s="39" t="e">
        <f t="shared" si="8"/>
        <v>#DIV/0!</v>
      </c>
      <c r="U45" s="39" t="e">
        <f t="shared" si="8"/>
        <v>#DIV/0!</v>
      </c>
      <c r="V45" s="39" t="e">
        <f t="shared" si="8"/>
        <v>#DIV/0!</v>
      </c>
      <c r="W45"/>
    </row>
    <row r="46" spans="1:23" ht="15.75" thickBot="1">
      <c r="A46" s="808" t="s">
        <v>1458</v>
      </c>
      <c r="B46" s="717">
        <v>1.4</v>
      </c>
      <c r="C46" s="739"/>
      <c r="D46" s="39" t="e">
        <f t="shared" si="5"/>
        <v>#DIV/0!</v>
      </c>
      <c r="E46" s="39" t="e">
        <f t="shared" si="5"/>
        <v>#DIV/0!</v>
      </c>
      <c r="F46" s="39" t="e">
        <f t="shared" si="5"/>
        <v>#DIV/0!</v>
      </c>
      <c r="G46" s="39">
        <v>3.1</v>
      </c>
      <c r="H46" s="39" t="e">
        <f t="shared" si="6"/>
        <v>#DIV/0!</v>
      </c>
      <c r="I46" s="39" t="e">
        <f t="shared" si="6"/>
        <v>#DIV/0!</v>
      </c>
      <c r="J46" s="39" t="e">
        <f t="shared" si="6"/>
        <v>#DIV/0!</v>
      </c>
      <c r="K46" s="39" t="e">
        <f t="shared" si="6"/>
        <v>#DIV/0!</v>
      </c>
      <c r="L46" s="39" t="e">
        <f t="shared" si="6"/>
        <v>#DIV/0!</v>
      </c>
      <c r="M46" s="39" t="e">
        <f t="shared" si="6"/>
        <v>#DIV/0!</v>
      </c>
      <c r="N46" s="39" t="e">
        <f t="shared" si="6"/>
        <v>#DIV/0!</v>
      </c>
      <c r="O46" s="39" t="e">
        <f t="shared" si="1"/>
        <v>#DIV/0!</v>
      </c>
      <c r="P46" s="39" t="e">
        <f t="shared" si="1"/>
        <v>#DIV/0!</v>
      </c>
      <c r="Q46" s="39" t="e">
        <f t="shared" si="8"/>
        <v>#DIV/0!</v>
      </c>
      <c r="R46" s="39" t="e">
        <f t="shared" si="8"/>
        <v>#DIV/0!</v>
      </c>
      <c r="S46" s="39" t="e">
        <f t="shared" si="8"/>
        <v>#DIV/0!</v>
      </c>
      <c r="T46" s="39" t="e">
        <f t="shared" si="8"/>
        <v>#DIV/0!</v>
      </c>
      <c r="U46" s="39" t="e">
        <f t="shared" si="8"/>
        <v>#DIV/0!</v>
      </c>
      <c r="V46" s="39" t="e">
        <f t="shared" si="8"/>
        <v>#DIV/0!</v>
      </c>
      <c r="W46"/>
    </row>
    <row r="47" spans="1:23" ht="15.75" thickBot="1">
      <c r="A47" s="808" t="s">
        <v>1454</v>
      </c>
      <c r="B47" s="717">
        <v>1.4</v>
      </c>
      <c r="C47" s="739"/>
      <c r="D47" s="39" t="e">
        <f t="shared" si="5"/>
        <v>#DIV/0!</v>
      </c>
      <c r="E47" s="39" t="e">
        <f t="shared" si="5"/>
        <v>#DIV/0!</v>
      </c>
      <c r="F47" s="39" t="e">
        <f t="shared" si="5"/>
        <v>#DIV/0!</v>
      </c>
      <c r="G47" s="39">
        <v>3.55</v>
      </c>
      <c r="H47" s="39" t="e">
        <f t="shared" si="6"/>
        <v>#DIV/0!</v>
      </c>
      <c r="I47" s="39" t="e">
        <f t="shared" si="6"/>
        <v>#DIV/0!</v>
      </c>
      <c r="J47" s="39" t="e">
        <f t="shared" si="6"/>
        <v>#DIV/0!</v>
      </c>
      <c r="K47" s="39" t="e">
        <f t="shared" si="6"/>
        <v>#DIV/0!</v>
      </c>
      <c r="L47" s="39" t="e">
        <f t="shared" si="6"/>
        <v>#DIV/0!</v>
      </c>
      <c r="M47" s="39" t="e">
        <f t="shared" si="6"/>
        <v>#DIV/0!</v>
      </c>
      <c r="N47" s="39" t="e">
        <f t="shared" si="6"/>
        <v>#DIV/0!</v>
      </c>
      <c r="O47" s="39" t="e">
        <f t="shared" si="1"/>
        <v>#DIV/0!</v>
      </c>
      <c r="P47" s="39" t="e">
        <f t="shared" si="1"/>
        <v>#DIV/0!</v>
      </c>
      <c r="Q47" s="39" t="e">
        <f t="shared" si="8"/>
        <v>#DIV/0!</v>
      </c>
      <c r="R47" s="39" t="e">
        <f t="shared" si="8"/>
        <v>#DIV/0!</v>
      </c>
      <c r="S47" s="39" t="e">
        <f t="shared" si="8"/>
        <v>#DIV/0!</v>
      </c>
      <c r="T47" s="39" t="e">
        <f t="shared" si="8"/>
        <v>#DIV/0!</v>
      </c>
      <c r="U47" s="39" t="e">
        <f t="shared" si="8"/>
        <v>#DIV/0!</v>
      </c>
      <c r="V47" s="39" t="e">
        <f t="shared" si="8"/>
        <v>#DIV/0!</v>
      </c>
      <c r="W47"/>
    </row>
    <row r="48" spans="1:23">
      <c r="A48" s="808" t="s">
        <v>1459</v>
      </c>
      <c r="B48" s="717">
        <v>1.4</v>
      </c>
      <c r="C48" s="739"/>
      <c r="D48" s="39" t="e">
        <f t="shared" si="5"/>
        <v>#DIV/0!</v>
      </c>
      <c r="E48" s="39" t="e">
        <f t="shared" si="5"/>
        <v>#DIV/0!</v>
      </c>
      <c r="F48" s="39" t="e">
        <f t="shared" si="5"/>
        <v>#DIV/0!</v>
      </c>
      <c r="G48" s="39">
        <v>3.1</v>
      </c>
      <c r="H48" s="39" t="e">
        <f t="shared" si="6"/>
        <v>#DIV/0!</v>
      </c>
      <c r="I48" s="39" t="e">
        <f t="shared" si="6"/>
        <v>#DIV/0!</v>
      </c>
      <c r="J48" s="39" t="e">
        <f t="shared" si="6"/>
        <v>#DIV/0!</v>
      </c>
      <c r="K48" s="39" t="e">
        <f t="shared" si="6"/>
        <v>#DIV/0!</v>
      </c>
      <c r="L48" s="39" t="e">
        <f t="shared" si="6"/>
        <v>#DIV/0!</v>
      </c>
      <c r="M48" s="39" t="e">
        <f t="shared" si="6"/>
        <v>#DIV/0!</v>
      </c>
      <c r="N48" s="39" t="e">
        <f t="shared" si="6"/>
        <v>#DIV/0!</v>
      </c>
      <c r="O48" s="39" t="e">
        <f t="shared" si="1"/>
        <v>#DIV/0!</v>
      </c>
      <c r="P48" s="39" t="e">
        <f t="shared" si="1"/>
        <v>#DIV/0!</v>
      </c>
      <c r="Q48" s="39" t="e">
        <f t="shared" si="8"/>
        <v>#DIV/0!</v>
      </c>
      <c r="R48" s="39" t="e">
        <f t="shared" si="8"/>
        <v>#DIV/0!</v>
      </c>
      <c r="S48" s="39" t="e">
        <f t="shared" si="8"/>
        <v>#DIV/0!</v>
      </c>
      <c r="T48" s="39" t="e">
        <f t="shared" si="8"/>
        <v>#DIV/0!</v>
      </c>
      <c r="U48" s="39" t="e">
        <f t="shared" si="8"/>
        <v>#DIV/0!</v>
      </c>
      <c r="V48" s="39" t="e">
        <f t="shared" si="8"/>
        <v>#DIV/0!</v>
      </c>
      <c r="W48"/>
    </row>
    <row r="49" spans="1:23" s="39" customFormat="1" ht="15.75" thickBot="1">
      <c r="A49" s="706"/>
      <c r="B49" s="718"/>
      <c r="C49" s="739"/>
      <c r="O49" s="713" t="e">
        <f>1/0</f>
        <v>#DIV/0!</v>
      </c>
      <c r="U49" s="39" t="e">
        <f>1/0</f>
        <v>#DIV/0!</v>
      </c>
      <c r="V49" s="39" t="e">
        <f>1/0</f>
        <v>#DIV/0!</v>
      </c>
    </row>
    <row r="50" spans="1:23" ht="15.75" thickBot="1">
      <c r="A50" s="808" t="s">
        <v>1461</v>
      </c>
      <c r="B50" s="717">
        <v>1.4</v>
      </c>
      <c r="C50" s="739"/>
      <c r="D50" s="39" t="e">
        <f t="shared" si="5"/>
        <v>#DIV/0!</v>
      </c>
      <c r="E50" s="39" t="e">
        <f t="shared" si="5"/>
        <v>#DIV/0!</v>
      </c>
      <c r="F50" s="39" t="e">
        <f t="shared" si="5"/>
        <v>#DIV/0!</v>
      </c>
      <c r="G50" s="39" t="e">
        <f t="shared" si="5"/>
        <v>#DIV/0!</v>
      </c>
      <c r="H50" s="39">
        <v>1.9</v>
      </c>
      <c r="I50" s="39" t="e">
        <f t="shared" si="6"/>
        <v>#DIV/0!</v>
      </c>
      <c r="J50" s="39" t="e">
        <f t="shared" si="6"/>
        <v>#DIV/0!</v>
      </c>
      <c r="K50" s="39" t="e">
        <f t="shared" si="6"/>
        <v>#DIV/0!</v>
      </c>
      <c r="L50" s="39" t="e">
        <f t="shared" si="6"/>
        <v>#DIV/0!</v>
      </c>
      <c r="M50" s="39" t="e">
        <f t="shared" si="6"/>
        <v>#DIV/0!</v>
      </c>
      <c r="N50" s="39" t="e">
        <f t="shared" si="6"/>
        <v>#DIV/0!</v>
      </c>
      <c r="O50" s="39" t="e">
        <f t="shared" si="1"/>
        <v>#DIV/0!</v>
      </c>
      <c r="P50" s="39" t="e">
        <f t="shared" si="1"/>
        <v>#DIV/0!</v>
      </c>
      <c r="Q50" s="39" t="e">
        <f t="shared" si="8"/>
        <v>#DIV/0!</v>
      </c>
      <c r="R50" s="39" t="e">
        <f t="shared" si="8"/>
        <v>#DIV/0!</v>
      </c>
      <c r="S50" s="39" t="e">
        <f t="shared" si="8"/>
        <v>#DIV/0!</v>
      </c>
      <c r="T50" s="39" t="e">
        <f t="shared" si="8"/>
        <v>#DIV/0!</v>
      </c>
      <c r="U50" s="39" t="e">
        <f t="shared" si="8"/>
        <v>#DIV/0!</v>
      </c>
      <c r="V50" s="39" t="e">
        <f t="shared" si="8"/>
        <v>#DIV/0!</v>
      </c>
      <c r="W50"/>
    </row>
    <row r="51" spans="1:23" ht="15.75" thickBot="1">
      <c r="A51" s="808" t="s">
        <v>1462</v>
      </c>
      <c r="B51" s="717">
        <v>1.4</v>
      </c>
      <c r="C51" s="739"/>
      <c r="D51" s="39" t="e">
        <f t="shared" si="5"/>
        <v>#DIV/0!</v>
      </c>
      <c r="E51" s="39" t="e">
        <f t="shared" si="5"/>
        <v>#DIV/0!</v>
      </c>
      <c r="F51" s="39" t="e">
        <f t="shared" si="5"/>
        <v>#DIV/0!</v>
      </c>
      <c r="G51" s="39" t="e">
        <f t="shared" si="5"/>
        <v>#DIV/0!</v>
      </c>
      <c r="H51" s="39">
        <v>1.9</v>
      </c>
      <c r="I51" s="39" t="e">
        <f t="shared" si="6"/>
        <v>#DIV/0!</v>
      </c>
      <c r="J51" s="39" t="e">
        <f t="shared" si="6"/>
        <v>#DIV/0!</v>
      </c>
      <c r="K51" s="39" t="e">
        <f t="shared" si="6"/>
        <v>#DIV/0!</v>
      </c>
      <c r="L51" s="39" t="e">
        <f t="shared" si="6"/>
        <v>#DIV/0!</v>
      </c>
      <c r="M51" s="39" t="e">
        <f t="shared" si="6"/>
        <v>#DIV/0!</v>
      </c>
      <c r="N51" s="39" t="e">
        <f t="shared" si="6"/>
        <v>#DIV/0!</v>
      </c>
      <c r="O51" s="39" t="e">
        <f t="shared" si="1"/>
        <v>#DIV/0!</v>
      </c>
      <c r="P51" s="39" t="e">
        <f t="shared" si="1"/>
        <v>#DIV/0!</v>
      </c>
      <c r="Q51" s="39" t="e">
        <f t="shared" si="8"/>
        <v>#DIV/0!</v>
      </c>
      <c r="R51" s="39" t="e">
        <f t="shared" si="8"/>
        <v>#DIV/0!</v>
      </c>
      <c r="S51" s="39" t="e">
        <f t="shared" si="8"/>
        <v>#DIV/0!</v>
      </c>
      <c r="T51" s="39" t="e">
        <f t="shared" si="8"/>
        <v>#DIV/0!</v>
      </c>
      <c r="U51" s="39" t="e">
        <f t="shared" si="8"/>
        <v>#DIV/0!</v>
      </c>
      <c r="V51" s="39" t="e">
        <f t="shared" si="8"/>
        <v>#DIV/0!</v>
      </c>
      <c r="W51"/>
    </row>
    <row r="52" spans="1:23" s="39" customFormat="1" ht="15.75" thickBot="1">
      <c r="A52" s="44" t="s">
        <v>1269</v>
      </c>
      <c r="B52" s="717">
        <v>1.4</v>
      </c>
      <c r="C52" s="739"/>
      <c r="D52" s="39" t="e">
        <f t="shared" ref="D52:G52" si="10">1/0</f>
        <v>#DIV/0!</v>
      </c>
      <c r="E52" s="39" t="e">
        <f t="shared" si="10"/>
        <v>#DIV/0!</v>
      </c>
      <c r="F52" s="39" t="e">
        <f t="shared" si="10"/>
        <v>#DIV/0!</v>
      </c>
      <c r="G52" s="39" t="e">
        <f t="shared" si="10"/>
        <v>#DIV/0!</v>
      </c>
      <c r="H52" s="39">
        <v>1.9</v>
      </c>
      <c r="I52" s="39" t="e">
        <f t="shared" si="6"/>
        <v>#DIV/0!</v>
      </c>
      <c r="J52" s="39" t="e">
        <f t="shared" si="6"/>
        <v>#DIV/0!</v>
      </c>
      <c r="K52" s="39" t="e">
        <f t="shared" si="6"/>
        <v>#DIV/0!</v>
      </c>
      <c r="L52" s="39" t="e">
        <f t="shared" si="6"/>
        <v>#DIV/0!</v>
      </c>
      <c r="M52" s="39" t="e">
        <f t="shared" si="6"/>
        <v>#DIV/0!</v>
      </c>
      <c r="N52" s="39" t="e">
        <f t="shared" si="6"/>
        <v>#DIV/0!</v>
      </c>
      <c r="O52" s="39" t="e">
        <f t="shared" si="1"/>
        <v>#DIV/0!</v>
      </c>
      <c r="P52" s="39" t="e">
        <f t="shared" si="1"/>
        <v>#DIV/0!</v>
      </c>
      <c r="Q52" s="39" t="e">
        <f t="shared" si="8"/>
        <v>#DIV/0!</v>
      </c>
      <c r="R52" s="39" t="e">
        <f t="shared" si="8"/>
        <v>#DIV/0!</v>
      </c>
      <c r="S52" s="39" t="e">
        <f t="shared" si="8"/>
        <v>#DIV/0!</v>
      </c>
      <c r="T52" s="39" t="e">
        <f t="shared" si="8"/>
        <v>#DIV/0!</v>
      </c>
      <c r="U52" s="39" t="e">
        <f t="shared" si="8"/>
        <v>#DIV/0!</v>
      </c>
      <c r="V52" s="39" t="e">
        <f t="shared" si="8"/>
        <v>#DIV/0!</v>
      </c>
    </row>
    <row r="53" spans="1:23" s="39" customFormat="1" ht="15.75" thickBot="1">
      <c r="A53" s="44" t="s">
        <v>1268</v>
      </c>
      <c r="B53" s="717">
        <v>1.4</v>
      </c>
      <c r="C53" s="739"/>
      <c r="D53" s="39" t="e">
        <f t="shared" ref="D53:G53" si="11">1/0</f>
        <v>#DIV/0!</v>
      </c>
      <c r="E53" s="39" t="e">
        <f t="shared" si="11"/>
        <v>#DIV/0!</v>
      </c>
      <c r="F53" s="39" t="e">
        <f t="shared" si="11"/>
        <v>#DIV/0!</v>
      </c>
      <c r="G53" s="39" t="e">
        <f t="shared" si="11"/>
        <v>#DIV/0!</v>
      </c>
      <c r="H53" s="39">
        <v>1.9</v>
      </c>
      <c r="I53" s="39" t="e">
        <f t="shared" si="6"/>
        <v>#DIV/0!</v>
      </c>
      <c r="J53" s="39" t="e">
        <f t="shared" si="6"/>
        <v>#DIV/0!</v>
      </c>
      <c r="K53" s="39" t="e">
        <f t="shared" si="6"/>
        <v>#DIV/0!</v>
      </c>
      <c r="L53" s="39" t="e">
        <f t="shared" si="6"/>
        <v>#DIV/0!</v>
      </c>
      <c r="M53" s="39" t="e">
        <f t="shared" si="6"/>
        <v>#DIV/0!</v>
      </c>
      <c r="N53" s="39" t="e">
        <f t="shared" si="6"/>
        <v>#DIV/0!</v>
      </c>
      <c r="O53" s="39" t="e">
        <f t="shared" si="1"/>
        <v>#DIV/0!</v>
      </c>
      <c r="P53" s="39" t="e">
        <f t="shared" si="1"/>
        <v>#DIV/0!</v>
      </c>
      <c r="Q53" s="39" t="e">
        <f t="shared" si="8"/>
        <v>#DIV/0!</v>
      </c>
      <c r="R53" s="39" t="e">
        <f t="shared" si="8"/>
        <v>#DIV/0!</v>
      </c>
      <c r="S53" s="39" t="e">
        <f t="shared" si="8"/>
        <v>#DIV/0!</v>
      </c>
      <c r="T53" s="39" t="e">
        <f t="shared" si="8"/>
        <v>#DIV/0!</v>
      </c>
      <c r="U53" s="39" t="e">
        <f t="shared" si="8"/>
        <v>#DIV/0!</v>
      </c>
      <c r="V53" s="39" t="e">
        <f t="shared" si="8"/>
        <v>#DIV/0!</v>
      </c>
    </row>
    <row r="54" spans="1:23" ht="15.75" thickBot="1">
      <c r="A54" s="808" t="s">
        <v>1460</v>
      </c>
      <c r="B54" s="717">
        <v>1.4</v>
      </c>
      <c r="C54" s="739"/>
      <c r="D54" s="39" t="e">
        <f t="shared" si="5"/>
        <v>#DIV/0!</v>
      </c>
      <c r="E54" s="39" t="e">
        <f t="shared" si="5"/>
        <v>#DIV/0!</v>
      </c>
      <c r="F54" s="39" t="e">
        <f t="shared" si="5"/>
        <v>#DIV/0!</v>
      </c>
      <c r="G54" s="39" t="e">
        <f t="shared" si="5"/>
        <v>#DIV/0!</v>
      </c>
      <c r="H54" s="39">
        <v>1.9</v>
      </c>
      <c r="I54" s="39" t="e">
        <f t="shared" ref="I54:N69" si="12">1/0</f>
        <v>#DIV/0!</v>
      </c>
      <c r="J54" s="39" t="e">
        <f t="shared" si="12"/>
        <v>#DIV/0!</v>
      </c>
      <c r="K54" s="39" t="e">
        <f t="shared" si="12"/>
        <v>#DIV/0!</v>
      </c>
      <c r="L54" s="39" t="e">
        <f t="shared" si="12"/>
        <v>#DIV/0!</v>
      </c>
      <c r="M54" s="39" t="e">
        <f t="shared" si="12"/>
        <v>#DIV/0!</v>
      </c>
      <c r="N54" s="39" t="e">
        <f t="shared" si="12"/>
        <v>#DIV/0!</v>
      </c>
      <c r="O54" s="39" t="e">
        <f t="shared" si="1"/>
        <v>#DIV/0!</v>
      </c>
      <c r="P54" s="39" t="e">
        <f t="shared" si="1"/>
        <v>#DIV/0!</v>
      </c>
      <c r="Q54" s="39" t="e">
        <f t="shared" si="8"/>
        <v>#DIV/0!</v>
      </c>
      <c r="R54" s="39" t="e">
        <f t="shared" si="8"/>
        <v>#DIV/0!</v>
      </c>
      <c r="S54" s="39" t="e">
        <f t="shared" si="8"/>
        <v>#DIV/0!</v>
      </c>
      <c r="T54" s="39" t="e">
        <f t="shared" si="8"/>
        <v>#DIV/0!</v>
      </c>
      <c r="U54" s="39" t="e">
        <f t="shared" si="8"/>
        <v>#DIV/0!</v>
      </c>
      <c r="V54" s="39" t="e">
        <f t="shared" si="8"/>
        <v>#DIV/0!</v>
      </c>
      <c r="W54"/>
    </row>
    <row r="55" spans="1:23">
      <c r="A55" s="808" t="s">
        <v>1651</v>
      </c>
      <c r="B55" s="717">
        <v>1.4</v>
      </c>
      <c r="C55" s="739"/>
      <c r="D55" s="39" t="e">
        <f t="shared" si="5"/>
        <v>#DIV/0!</v>
      </c>
      <c r="E55" s="39" t="e">
        <f t="shared" si="5"/>
        <v>#DIV/0!</v>
      </c>
      <c r="F55" s="39" t="e">
        <f t="shared" si="5"/>
        <v>#DIV/0!</v>
      </c>
      <c r="G55" s="39" t="e">
        <f t="shared" si="5"/>
        <v>#DIV/0!</v>
      </c>
      <c r="H55" s="39">
        <v>1.9</v>
      </c>
      <c r="I55" s="39" t="e">
        <f t="shared" si="12"/>
        <v>#DIV/0!</v>
      </c>
      <c r="J55" s="39" t="e">
        <f t="shared" si="12"/>
        <v>#DIV/0!</v>
      </c>
      <c r="K55" s="39" t="e">
        <f t="shared" si="12"/>
        <v>#DIV/0!</v>
      </c>
      <c r="L55" s="39" t="e">
        <f t="shared" si="12"/>
        <v>#DIV/0!</v>
      </c>
      <c r="M55" s="39" t="e">
        <f t="shared" si="12"/>
        <v>#DIV/0!</v>
      </c>
      <c r="N55" s="39" t="e">
        <f t="shared" si="12"/>
        <v>#DIV/0!</v>
      </c>
      <c r="O55" s="39" t="e">
        <f t="shared" si="1"/>
        <v>#DIV/0!</v>
      </c>
      <c r="P55" s="39" t="e">
        <f t="shared" si="1"/>
        <v>#DIV/0!</v>
      </c>
      <c r="Q55" s="39" t="e">
        <f t="shared" si="8"/>
        <v>#DIV/0!</v>
      </c>
      <c r="R55" s="39" t="e">
        <f t="shared" si="8"/>
        <v>#DIV/0!</v>
      </c>
      <c r="S55" s="39" t="e">
        <f t="shared" si="8"/>
        <v>#DIV/0!</v>
      </c>
      <c r="T55" s="39" t="e">
        <f t="shared" si="8"/>
        <v>#DIV/0!</v>
      </c>
      <c r="U55" s="39" t="e">
        <f t="shared" si="8"/>
        <v>#DIV/0!</v>
      </c>
      <c r="V55" s="39" t="e">
        <f t="shared" si="8"/>
        <v>#DIV/0!</v>
      </c>
      <c r="W55"/>
    </row>
    <row r="56" spans="1:23" s="39" customFormat="1" ht="15.75" thickBot="1">
      <c r="A56" s="808" t="s">
        <v>1468</v>
      </c>
      <c r="B56" s="718"/>
      <c r="C56" s="739"/>
      <c r="D56" s="39" t="e">
        <f t="shared" ref="D56:G56" si="13">1/0</f>
        <v>#DIV/0!</v>
      </c>
      <c r="E56" s="39" t="e">
        <f t="shared" si="13"/>
        <v>#DIV/0!</v>
      </c>
      <c r="F56" s="39" t="e">
        <f t="shared" si="13"/>
        <v>#DIV/0!</v>
      </c>
      <c r="G56" s="39" t="e">
        <f t="shared" si="13"/>
        <v>#DIV/0!</v>
      </c>
      <c r="H56" s="39">
        <v>1.9</v>
      </c>
      <c r="I56" s="39" t="e">
        <f t="shared" si="12"/>
        <v>#DIV/0!</v>
      </c>
      <c r="J56" s="39" t="e">
        <f t="shared" si="12"/>
        <v>#DIV/0!</v>
      </c>
      <c r="K56" s="39" t="e">
        <f t="shared" si="12"/>
        <v>#DIV/0!</v>
      </c>
      <c r="L56" s="39" t="e">
        <f t="shared" si="12"/>
        <v>#DIV/0!</v>
      </c>
      <c r="M56" s="39" t="e">
        <f t="shared" si="12"/>
        <v>#DIV/0!</v>
      </c>
      <c r="N56" s="39" t="e">
        <f t="shared" si="12"/>
        <v>#DIV/0!</v>
      </c>
      <c r="O56" s="39" t="e">
        <f t="shared" si="1"/>
        <v>#DIV/0!</v>
      </c>
      <c r="P56" s="39" t="e">
        <f t="shared" si="1"/>
        <v>#DIV/0!</v>
      </c>
      <c r="Q56" s="39" t="e">
        <f t="shared" si="8"/>
        <v>#DIV/0!</v>
      </c>
      <c r="R56" s="39" t="e">
        <f t="shared" si="8"/>
        <v>#DIV/0!</v>
      </c>
      <c r="S56" s="39" t="e">
        <f t="shared" si="8"/>
        <v>#DIV/0!</v>
      </c>
      <c r="T56" s="39" t="e">
        <f t="shared" si="8"/>
        <v>#DIV/0!</v>
      </c>
      <c r="U56" s="39" t="e">
        <f t="shared" si="8"/>
        <v>#DIV/0!</v>
      </c>
      <c r="V56" s="39" t="e">
        <f t="shared" si="8"/>
        <v>#DIV/0!</v>
      </c>
    </row>
    <row r="57" spans="1:23" ht="15.75" thickBot="1">
      <c r="A57" s="808" t="s">
        <v>1463</v>
      </c>
      <c r="B57" s="717">
        <v>1.4</v>
      </c>
      <c r="C57" s="739"/>
      <c r="D57" s="39" t="e">
        <f t="shared" si="5"/>
        <v>#DIV/0!</v>
      </c>
      <c r="E57" s="39" t="e">
        <f t="shared" si="5"/>
        <v>#DIV/0!</v>
      </c>
      <c r="F57" s="39" t="e">
        <f t="shared" si="5"/>
        <v>#DIV/0!</v>
      </c>
      <c r="G57" s="39" t="e">
        <f t="shared" si="5"/>
        <v>#DIV/0!</v>
      </c>
      <c r="H57" s="39">
        <v>1.9</v>
      </c>
      <c r="I57" s="39" t="e">
        <f t="shared" si="12"/>
        <v>#DIV/0!</v>
      </c>
      <c r="J57" s="39" t="e">
        <f t="shared" si="12"/>
        <v>#DIV/0!</v>
      </c>
      <c r="K57" s="39" t="e">
        <f t="shared" si="12"/>
        <v>#DIV/0!</v>
      </c>
      <c r="L57" s="39" t="e">
        <f t="shared" si="12"/>
        <v>#DIV/0!</v>
      </c>
      <c r="M57" s="39" t="e">
        <f t="shared" si="12"/>
        <v>#DIV/0!</v>
      </c>
      <c r="N57" s="39" t="e">
        <f t="shared" si="12"/>
        <v>#DIV/0!</v>
      </c>
      <c r="O57" s="39" t="e">
        <f t="shared" si="1"/>
        <v>#DIV/0!</v>
      </c>
      <c r="P57" s="39" t="e">
        <f t="shared" si="1"/>
        <v>#DIV/0!</v>
      </c>
      <c r="Q57" s="39" t="e">
        <f t="shared" si="8"/>
        <v>#DIV/0!</v>
      </c>
      <c r="R57" s="39" t="e">
        <f t="shared" si="8"/>
        <v>#DIV/0!</v>
      </c>
      <c r="S57" s="39" t="e">
        <f t="shared" si="8"/>
        <v>#DIV/0!</v>
      </c>
      <c r="T57" s="39" t="e">
        <f t="shared" si="8"/>
        <v>#DIV/0!</v>
      </c>
      <c r="U57" s="39" t="e">
        <f t="shared" si="8"/>
        <v>#DIV/0!</v>
      </c>
      <c r="V57" s="39" t="e">
        <f t="shared" si="8"/>
        <v>#DIV/0!</v>
      </c>
      <c r="W57"/>
    </row>
    <row r="58" spans="1:23" ht="15.75" thickBot="1">
      <c r="A58" s="808" t="s">
        <v>1650</v>
      </c>
      <c r="B58" s="717">
        <v>1.4</v>
      </c>
      <c r="C58" s="739"/>
      <c r="D58" s="39" t="e">
        <f t="shared" si="5"/>
        <v>#DIV/0!</v>
      </c>
      <c r="E58" s="39" t="e">
        <f t="shared" si="5"/>
        <v>#DIV/0!</v>
      </c>
      <c r="F58" s="39" t="e">
        <f t="shared" si="5"/>
        <v>#DIV/0!</v>
      </c>
      <c r="G58" s="39" t="e">
        <f t="shared" si="5"/>
        <v>#DIV/0!</v>
      </c>
      <c r="H58" s="39">
        <v>1.9</v>
      </c>
      <c r="I58" s="39" t="e">
        <f t="shared" si="12"/>
        <v>#DIV/0!</v>
      </c>
      <c r="J58" s="39" t="e">
        <f t="shared" si="12"/>
        <v>#DIV/0!</v>
      </c>
      <c r="K58" s="39" t="e">
        <f t="shared" si="12"/>
        <v>#DIV/0!</v>
      </c>
      <c r="L58" s="39" t="e">
        <f t="shared" si="12"/>
        <v>#DIV/0!</v>
      </c>
      <c r="M58" s="39" t="e">
        <f t="shared" si="12"/>
        <v>#DIV/0!</v>
      </c>
      <c r="N58" s="39" t="e">
        <f t="shared" si="12"/>
        <v>#DIV/0!</v>
      </c>
      <c r="O58" s="39" t="e">
        <f t="shared" si="1"/>
        <v>#DIV/0!</v>
      </c>
      <c r="P58" s="39" t="e">
        <f t="shared" si="1"/>
        <v>#DIV/0!</v>
      </c>
      <c r="Q58" s="39" t="e">
        <f t="shared" ref="Q58:T145" si="14">1/0</f>
        <v>#DIV/0!</v>
      </c>
      <c r="R58" s="39" t="e">
        <f t="shared" si="14"/>
        <v>#DIV/0!</v>
      </c>
      <c r="S58" s="39" t="e">
        <f t="shared" si="14"/>
        <v>#DIV/0!</v>
      </c>
      <c r="T58" s="39" t="e">
        <f t="shared" si="14"/>
        <v>#DIV/0!</v>
      </c>
      <c r="U58" s="39" t="e">
        <f t="shared" ref="U58:V145" si="15">1/0</f>
        <v>#DIV/0!</v>
      </c>
      <c r="V58" s="39" t="e">
        <f t="shared" si="15"/>
        <v>#DIV/0!</v>
      </c>
      <c r="W58"/>
    </row>
    <row r="59" spans="1:23" ht="15.75" thickBot="1">
      <c r="A59" s="808" t="s">
        <v>1464</v>
      </c>
      <c r="B59" s="717">
        <v>1.4</v>
      </c>
      <c r="C59" s="739"/>
      <c r="D59" s="39" t="e">
        <f t="shared" si="5"/>
        <v>#DIV/0!</v>
      </c>
      <c r="E59" s="39" t="e">
        <f t="shared" si="5"/>
        <v>#DIV/0!</v>
      </c>
      <c r="F59" s="39" t="e">
        <f t="shared" si="5"/>
        <v>#DIV/0!</v>
      </c>
      <c r="G59" s="39" t="e">
        <f t="shared" si="5"/>
        <v>#DIV/0!</v>
      </c>
      <c r="H59" s="39">
        <v>1.9</v>
      </c>
      <c r="I59" s="39" t="e">
        <f t="shared" si="12"/>
        <v>#DIV/0!</v>
      </c>
      <c r="J59" s="39" t="e">
        <f t="shared" si="12"/>
        <v>#DIV/0!</v>
      </c>
      <c r="K59" s="39" t="e">
        <f t="shared" si="12"/>
        <v>#DIV/0!</v>
      </c>
      <c r="L59" s="39" t="e">
        <f t="shared" si="12"/>
        <v>#DIV/0!</v>
      </c>
      <c r="M59" s="39" t="e">
        <f t="shared" si="12"/>
        <v>#DIV/0!</v>
      </c>
      <c r="N59" s="39" t="e">
        <f t="shared" si="12"/>
        <v>#DIV/0!</v>
      </c>
      <c r="O59" s="39" t="e">
        <f t="shared" si="1"/>
        <v>#DIV/0!</v>
      </c>
      <c r="P59" s="39" t="e">
        <f t="shared" si="1"/>
        <v>#DIV/0!</v>
      </c>
      <c r="Q59" s="39" t="e">
        <f t="shared" si="14"/>
        <v>#DIV/0!</v>
      </c>
      <c r="R59" s="39" t="e">
        <f t="shared" si="14"/>
        <v>#DIV/0!</v>
      </c>
      <c r="S59" s="39" t="e">
        <f t="shared" si="14"/>
        <v>#DIV/0!</v>
      </c>
      <c r="T59" s="39" t="e">
        <f t="shared" si="14"/>
        <v>#DIV/0!</v>
      </c>
      <c r="U59" s="39" t="e">
        <f t="shared" si="15"/>
        <v>#DIV/0!</v>
      </c>
      <c r="V59" s="39" t="e">
        <f t="shared" si="15"/>
        <v>#DIV/0!</v>
      </c>
      <c r="W59"/>
    </row>
    <row r="60" spans="1:23" ht="15.75" thickBot="1">
      <c r="A60" s="808" t="s">
        <v>1465</v>
      </c>
      <c r="B60" s="717">
        <v>1.4</v>
      </c>
      <c r="C60" s="739"/>
      <c r="D60" s="39" t="e">
        <f t="shared" si="5"/>
        <v>#DIV/0!</v>
      </c>
      <c r="E60" s="39" t="e">
        <f t="shared" si="5"/>
        <v>#DIV/0!</v>
      </c>
      <c r="F60" s="39" t="e">
        <f t="shared" si="5"/>
        <v>#DIV/0!</v>
      </c>
      <c r="G60" s="39" t="e">
        <f t="shared" si="5"/>
        <v>#DIV/0!</v>
      </c>
      <c r="H60" s="39">
        <v>1.9</v>
      </c>
      <c r="I60" s="39" t="e">
        <f t="shared" si="12"/>
        <v>#DIV/0!</v>
      </c>
      <c r="J60" s="39" t="e">
        <f t="shared" si="12"/>
        <v>#DIV/0!</v>
      </c>
      <c r="K60" s="39" t="e">
        <f t="shared" si="12"/>
        <v>#DIV/0!</v>
      </c>
      <c r="L60" s="39" t="e">
        <f t="shared" si="12"/>
        <v>#DIV/0!</v>
      </c>
      <c r="M60" s="39" t="e">
        <f t="shared" si="12"/>
        <v>#DIV/0!</v>
      </c>
      <c r="N60" s="39" t="e">
        <f t="shared" si="12"/>
        <v>#DIV/0!</v>
      </c>
      <c r="O60" s="39" t="e">
        <f t="shared" si="1"/>
        <v>#DIV/0!</v>
      </c>
      <c r="P60" s="39" t="e">
        <f t="shared" si="1"/>
        <v>#DIV/0!</v>
      </c>
      <c r="Q60" s="39" t="e">
        <f t="shared" si="14"/>
        <v>#DIV/0!</v>
      </c>
      <c r="R60" s="39" t="e">
        <f t="shared" si="14"/>
        <v>#DIV/0!</v>
      </c>
      <c r="S60" s="39" t="e">
        <f t="shared" si="14"/>
        <v>#DIV/0!</v>
      </c>
      <c r="T60" s="39" t="e">
        <f t="shared" si="14"/>
        <v>#DIV/0!</v>
      </c>
      <c r="U60" s="39" t="e">
        <f t="shared" si="15"/>
        <v>#DIV/0!</v>
      </c>
      <c r="V60" s="39" t="e">
        <f t="shared" si="15"/>
        <v>#DIV/0!</v>
      </c>
      <c r="W60"/>
    </row>
    <row r="61" spans="1:23" ht="15.75" thickBot="1">
      <c r="A61" s="808" t="s">
        <v>1467</v>
      </c>
      <c r="B61" s="717">
        <v>1.4</v>
      </c>
      <c r="C61" s="739"/>
      <c r="D61" s="39" t="e">
        <f t="shared" si="5"/>
        <v>#DIV/0!</v>
      </c>
      <c r="E61" s="39" t="e">
        <f t="shared" si="5"/>
        <v>#DIV/0!</v>
      </c>
      <c r="F61" s="39" t="e">
        <f t="shared" si="5"/>
        <v>#DIV/0!</v>
      </c>
      <c r="G61" s="39" t="e">
        <f t="shared" si="5"/>
        <v>#DIV/0!</v>
      </c>
      <c r="H61" s="39">
        <v>2.5</v>
      </c>
      <c r="I61" s="39" t="e">
        <f t="shared" si="12"/>
        <v>#DIV/0!</v>
      </c>
      <c r="J61" s="39" t="e">
        <f t="shared" si="12"/>
        <v>#DIV/0!</v>
      </c>
      <c r="K61" s="39" t="e">
        <f t="shared" si="12"/>
        <v>#DIV/0!</v>
      </c>
      <c r="L61" s="39" t="e">
        <f t="shared" si="12"/>
        <v>#DIV/0!</v>
      </c>
      <c r="M61" s="39" t="e">
        <f t="shared" si="12"/>
        <v>#DIV/0!</v>
      </c>
      <c r="N61" s="39" t="e">
        <f t="shared" si="12"/>
        <v>#DIV/0!</v>
      </c>
      <c r="O61" s="39" t="e">
        <f t="shared" si="1"/>
        <v>#DIV/0!</v>
      </c>
      <c r="P61" s="39" t="e">
        <f t="shared" si="1"/>
        <v>#DIV/0!</v>
      </c>
      <c r="Q61" s="39" t="e">
        <f t="shared" si="14"/>
        <v>#DIV/0!</v>
      </c>
      <c r="R61" s="39" t="e">
        <f t="shared" si="14"/>
        <v>#DIV/0!</v>
      </c>
      <c r="S61" s="39" t="e">
        <f t="shared" si="14"/>
        <v>#DIV/0!</v>
      </c>
      <c r="T61" s="39" t="e">
        <f t="shared" si="14"/>
        <v>#DIV/0!</v>
      </c>
      <c r="U61" s="39" t="e">
        <f t="shared" si="15"/>
        <v>#DIV/0!</v>
      </c>
      <c r="V61" s="39" t="e">
        <f t="shared" si="15"/>
        <v>#DIV/0!</v>
      </c>
      <c r="W61"/>
    </row>
    <row r="62" spans="1:23" ht="15.75" thickBot="1">
      <c r="A62" s="808" t="s">
        <v>1466</v>
      </c>
      <c r="B62" s="717">
        <v>1.4</v>
      </c>
      <c r="C62" s="739"/>
      <c r="D62" s="39" t="e">
        <f t="shared" si="5"/>
        <v>#DIV/0!</v>
      </c>
      <c r="E62" s="39" t="e">
        <f t="shared" si="5"/>
        <v>#DIV/0!</v>
      </c>
      <c r="F62" s="39" t="e">
        <f t="shared" si="5"/>
        <v>#DIV/0!</v>
      </c>
      <c r="G62" s="39" t="e">
        <f t="shared" si="5"/>
        <v>#DIV/0!</v>
      </c>
      <c r="H62" s="39">
        <v>1.9</v>
      </c>
      <c r="I62" s="39" t="e">
        <f t="shared" si="12"/>
        <v>#DIV/0!</v>
      </c>
      <c r="J62" s="39" t="e">
        <f t="shared" si="12"/>
        <v>#DIV/0!</v>
      </c>
      <c r="K62" s="39" t="e">
        <f t="shared" si="12"/>
        <v>#DIV/0!</v>
      </c>
      <c r="L62" s="39" t="e">
        <f t="shared" si="12"/>
        <v>#DIV/0!</v>
      </c>
      <c r="M62" s="39" t="e">
        <f t="shared" si="12"/>
        <v>#DIV/0!</v>
      </c>
      <c r="N62" s="39" t="e">
        <f t="shared" si="12"/>
        <v>#DIV/0!</v>
      </c>
      <c r="O62" s="39" t="e">
        <f t="shared" si="1"/>
        <v>#DIV/0!</v>
      </c>
      <c r="P62" s="39" t="e">
        <f t="shared" si="1"/>
        <v>#DIV/0!</v>
      </c>
      <c r="Q62" s="39" t="e">
        <f t="shared" si="14"/>
        <v>#DIV/0!</v>
      </c>
      <c r="R62" s="39" t="e">
        <f t="shared" si="14"/>
        <v>#DIV/0!</v>
      </c>
      <c r="S62" s="39" t="e">
        <f t="shared" si="14"/>
        <v>#DIV/0!</v>
      </c>
      <c r="T62" s="39" t="e">
        <f t="shared" si="14"/>
        <v>#DIV/0!</v>
      </c>
      <c r="U62" s="39" t="e">
        <f t="shared" si="15"/>
        <v>#DIV/0!</v>
      </c>
      <c r="V62" s="39" t="e">
        <f t="shared" si="15"/>
        <v>#DIV/0!</v>
      </c>
      <c r="W62"/>
    </row>
    <row r="63" spans="1:23" ht="15.75" thickBot="1">
      <c r="B63" s="717"/>
      <c r="C63" s="739"/>
      <c r="D63" s="39" t="e">
        <f t="shared" si="5"/>
        <v>#DIV/0!</v>
      </c>
      <c r="E63" s="39" t="e">
        <f t="shared" si="5"/>
        <v>#DIV/0!</v>
      </c>
      <c r="F63" s="39" t="e">
        <f t="shared" si="5"/>
        <v>#DIV/0!</v>
      </c>
      <c r="G63" s="39" t="e">
        <f t="shared" si="5"/>
        <v>#DIV/0!</v>
      </c>
      <c r="H63" s="39" t="e">
        <f t="shared" si="5"/>
        <v>#DIV/0!</v>
      </c>
      <c r="I63" s="39" t="e">
        <f t="shared" si="12"/>
        <v>#DIV/0!</v>
      </c>
      <c r="J63" s="39" t="e">
        <f t="shared" si="12"/>
        <v>#DIV/0!</v>
      </c>
      <c r="K63" s="39" t="e">
        <f t="shared" si="12"/>
        <v>#DIV/0!</v>
      </c>
      <c r="L63" s="39" t="e">
        <f t="shared" si="12"/>
        <v>#DIV/0!</v>
      </c>
      <c r="M63" s="39" t="e">
        <f t="shared" si="12"/>
        <v>#DIV/0!</v>
      </c>
      <c r="N63" s="39" t="e">
        <f t="shared" si="12"/>
        <v>#DIV/0!</v>
      </c>
      <c r="O63" s="39" t="e">
        <f t="shared" si="1"/>
        <v>#DIV/0!</v>
      </c>
      <c r="P63" s="39" t="e">
        <f t="shared" si="1"/>
        <v>#DIV/0!</v>
      </c>
      <c r="Q63" s="39" t="e">
        <f t="shared" si="14"/>
        <v>#DIV/0!</v>
      </c>
      <c r="R63" s="39" t="e">
        <f t="shared" si="14"/>
        <v>#DIV/0!</v>
      </c>
      <c r="S63" s="39" t="e">
        <f t="shared" si="14"/>
        <v>#DIV/0!</v>
      </c>
      <c r="T63" s="39" t="e">
        <f t="shared" si="14"/>
        <v>#DIV/0!</v>
      </c>
      <c r="U63" s="39" t="e">
        <f t="shared" si="15"/>
        <v>#DIV/0!</v>
      </c>
      <c r="V63" s="39" t="e">
        <f t="shared" si="15"/>
        <v>#DIV/0!</v>
      </c>
      <c r="W63"/>
    </row>
    <row r="64" spans="1:23" ht="15.75" thickBot="1">
      <c r="A64" s="808" t="s">
        <v>1470</v>
      </c>
      <c r="B64" s="717">
        <v>1.4</v>
      </c>
      <c r="C64" s="739"/>
      <c r="D64" s="39" t="e">
        <f t="shared" si="5"/>
        <v>#DIV/0!</v>
      </c>
      <c r="E64" s="39" t="e">
        <f t="shared" si="5"/>
        <v>#DIV/0!</v>
      </c>
      <c r="F64" s="39" t="e">
        <f t="shared" si="5"/>
        <v>#DIV/0!</v>
      </c>
      <c r="G64" s="39" t="e">
        <f t="shared" si="5"/>
        <v>#DIV/0!</v>
      </c>
      <c r="H64" s="39" t="e">
        <f t="shared" si="5"/>
        <v>#DIV/0!</v>
      </c>
      <c r="I64" s="39">
        <v>3.85</v>
      </c>
      <c r="J64" s="39" t="e">
        <f t="shared" si="12"/>
        <v>#DIV/0!</v>
      </c>
      <c r="K64" s="39" t="e">
        <f t="shared" si="12"/>
        <v>#DIV/0!</v>
      </c>
      <c r="L64" s="39" t="e">
        <f t="shared" si="12"/>
        <v>#DIV/0!</v>
      </c>
      <c r="M64" s="39" t="e">
        <f t="shared" si="12"/>
        <v>#DIV/0!</v>
      </c>
      <c r="N64" s="39" t="e">
        <f t="shared" si="12"/>
        <v>#DIV/0!</v>
      </c>
      <c r="O64" s="39" t="e">
        <f t="shared" si="1"/>
        <v>#DIV/0!</v>
      </c>
      <c r="P64" s="39" t="e">
        <f t="shared" si="1"/>
        <v>#DIV/0!</v>
      </c>
      <c r="Q64" s="39" t="e">
        <f t="shared" si="14"/>
        <v>#DIV/0!</v>
      </c>
      <c r="R64" s="39" t="e">
        <f t="shared" si="14"/>
        <v>#DIV/0!</v>
      </c>
      <c r="S64" s="39" t="e">
        <f t="shared" si="14"/>
        <v>#DIV/0!</v>
      </c>
      <c r="T64" s="39" t="e">
        <f t="shared" si="14"/>
        <v>#DIV/0!</v>
      </c>
      <c r="U64" s="39" t="e">
        <f t="shared" si="15"/>
        <v>#DIV/0!</v>
      </c>
      <c r="V64" s="39" t="e">
        <f t="shared" si="15"/>
        <v>#DIV/0!</v>
      </c>
      <c r="W64"/>
    </row>
    <row r="65" spans="1:23" ht="15.75" thickBot="1">
      <c r="A65" s="808" t="s">
        <v>1471</v>
      </c>
      <c r="B65" s="717">
        <v>1.4</v>
      </c>
      <c r="C65" s="739"/>
      <c r="D65" s="39" t="e">
        <f t="shared" si="5"/>
        <v>#DIV/0!</v>
      </c>
      <c r="E65" s="39" t="e">
        <f t="shared" si="5"/>
        <v>#DIV/0!</v>
      </c>
      <c r="F65" s="39" t="e">
        <f t="shared" si="5"/>
        <v>#DIV/0!</v>
      </c>
      <c r="G65" s="39" t="e">
        <f t="shared" si="5"/>
        <v>#DIV/0!</v>
      </c>
      <c r="H65" s="39" t="e">
        <f t="shared" si="5"/>
        <v>#DIV/0!</v>
      </c>
      <c r="I65" s="39">
        <v>3.85</v>
      </c>
      <c r="J65" s="39" t="e">
        <f t="shared" si="12"/>
        <v>#DIV/0!</v>
      </c>
      <c r="K65" s="39" t="e">
        <f t="shared" si="12"/>
        <v>#DIV/0!</v>
      </c>
      <c r="L65" s="39" t="e">
        <f t="shared" si="12"/>
        <v>#DIV/0!</v>
      </c>
      <c r="M65" s="39" t="e">
        <f t="shared" si="12"/>
        <v>#DIV/0!</v>
      </c>
      <c r="N65" s="39" t="e">
        <f t="shared" si="12"/>
        <v>#DIV/0!</v>
      </c>
      <c r="O65" s="39" t="e">
        <f t="shared" si="1"/>
        <v>#DIV/0!</v>
      </c>
      <c r="P65" s="39" t="e">
        <f t="shared" si="1"/>
        <v>#DIV/0!</v>
      </c>
      <c r="Q65" s="39" t="e">
        <f t="shared" si="14"/>
        <v>#DIV/0!</v>
      </c>
      <c r="R65" s="39" t="e">
        <f t="shared" si="14"/>
        <v>#DIV/0!</v>
      </c>
      <c r="S65" s="39" t="e">
        <f t="shared" si="14"/>
        <v>#DIV/0!</v>
      </c>
      <c r="T65" s="39" t="e">
        <f t="shared" si="14"/>
        <v>#DIV/0!</v>
      </c>
      <c r="U65" s="39" t="e">
        <f t="shared" si="15"/>
        <v>#DIV/0!</v>
      </c>
      <c r="V65" s="39" t="e">
        <f t="shared" si="15"/>
        <v>#DIV/0!</v>
      </c>
      <c r="W65"/>
    </row>
    <row r="66" spans="1:23" ht="15.75" thickBot="1">
      <c r="A66" s="808" t="s">
        <v>1469</v>
      </c>
      <c r="B66" s="717">
        <v>1.4</v>
      </c>
      <c r="C66" s="739"/>
      <c r="D66" s="39" t="e">
        <f t="shared" si="5"/>
        <v>#DIV/0!</v>
      </c>
      <c r="E66" s="39" t="e">
        <f t="shared" si="5"/>
        <v>#DIV/0!</v>
      </c>
      <c r="F66" s="39" t="e">
        <f t="shared" si="5"/>
        <v>#DIV/0!</v>
      </c>
      <c r="G66" s="39" t="e">
        <f t="shared" si="5"/>
        <v>#DIV/0!</v>
      </c>
      <c r="H66" s="39" t="e">
        <f t="shared" si="5"/>
        <v>#DIV/0!</v>
      </c>
      <c r="I66" s="39">
        <v>3.9</v>
      </c>
      <c r="J66" s="39" t="e">
        <f t="shared" si="12"/>
        <v>#DIV/0!</v>
      </c>
      <c r="K66" s="39" t="e">
        <f t="shared" si="12"/>
        <v>#DIV/0!</v>
      </c>
      <c r="L66" s="39" t="e">
        <f t="shared" si="12"/>
        <v>#DIV/0!</v>
      </c>
      <c r="M66" s="39" t="e">
        <f t="shared" si="12"/>
        <v>#DIV/0!</v>
      </c>
      <c r="N66" s="39" t="e">
        <f t="shared" si="12"/>
        <v>#DIV/0!</v>
      </c>
      <c r="O66" s="39" t="e">
        <f t="shared" si="1"/>
        <v>#DIV/0!</v>
      </c>
      <c r="P66" s="39" t="e">
        <f t="shared" si="1"/>
        <v>#DIV/0!</v>
      </c>
      <c r="Q66" s="39" t="e">
        <f t="shared" si="14"/>
        <v>#DIV/0!</v>
      </c>
      <c r="R66" s="39" t="e">
        <f t="shared" si="14"/>
        <v>#DIV/0!</v>
      </c>
      <c r="S66" s="39" t="e">
        <f t="shared" si="14"/>
        <v>#DIV/0!</v>
      </c>
      <c r="T66" s="39" t="e">
        <f t="shared" si="14"/>
        <v>#DIV/0!</v>
      </c>
      <c r="U66" s="39" t="e">
        <f t="shared" si="15"/>
        <v>#DIV/0!</v>
      </c>
      <c r="V66" s="39" t="e">
        <f t="shared" si="15"/>
        <v>#DIV/0!</v>
      </c>
      <c r="W66"/>
    </row>
    <row r="67" spans="1:23" ht="15.75" thickBot="1">
      <c r="A67" s="808" t="s">
        <v>1472</v>
      </c>
      <c r="B67" s="717">
        <v>1.4</v>
      </c>
      <c r="C67" s="739"/>
      <c r="D67" s="39" t="e">
        <f t="shared" si="5"/>
        <v>#DIV/0!</v>
      </c>
      <c r="E67" s="39" t="e">
        <f t="shared" si="5"/>
        <v>#DIV/0!</v>
      </c>
      <c r="F67" s="39" t="e">
        <f t="shared" si="5"/>
        <v>#DIV/0!</v>
      </c>
      <c r="G67" s="39" t="e">
        <f t="shared" si="5"/>
        <v>#DIV/0!</v>
      </c>
      <c r="H67" s="39" t="e">
        <f t="shared" si="5"/>
        <v>#DIV/0!</v>
      </c>
      <c r="I67" s="39">
        <v>3.85</v>
      </c>
      <c r="J67" s="39" t="e">
        <f t="shared" si="12"/>
        <v>#DIV/0!</v>
      </c>
      <c r="K67" s="39" t="e">
        <f t="shared" si="12"/>
        <v>#DIV/0!</v>
      </c>
      <c r="L67" s="39" t="e">
        <f t="shared" si="12"/>
        <v>#DIV/0!</v>
      </c>
      <c r="M67" s="39" t="e">
        <f t="shared" si="12"/>
        <v>#DIV/0!</v>
      </c>
      <c r="N67" s="39" t="e">
        <f t="shared" si="12"/>
        <v>#DIV/0!</v>
      </c>
      <c r="O67" s="39" t="e">
        <f t="shared" si="1"/>
        <v>#DIV/0!</v>
      </c>
      <c r="P67" s="39" t="e">
        <f t="shared" si="1"/>
        <v>#DIV/0!</v>
      </c>
      <c r="Q67" s="39" t="e">
        <f t="shared" si="14"/>
        <v>#DIV/0!</v>
      </c>
      <c r="R67" s="39" t="e">
        <f t="shared" si="14"/>
        <v>#DIV/0!</v>
      </c>
      <c r="S67" s="39" t="e">
        <f t="shared" si="14"/>
        <v>#DIV/0!</v>
      </c>
      <c r="T67" s="39" t="e">
        <f t="shared" si="14"/>
        <v>#DIV/0!</v>
      </c>
      <c r="U67" s="39" t="e">
        <f t="shared" si="15"/>
        <v>#DIV/0!</v>
      </c>
      <c r="V67" s="39" t="e">
        <f t="shared" si="15"/>
        <v>#DIV/0!</v>
      </c>
      <c r="W67"/>
    </row>
    <row r="68" spans="1:23" ht="15.75" thickBot="1">
      <c r="A68" s="808" t="s">
        <v>1473</v>
      </c>
      <c r="B68" s="717">
        <v>1.4</v>
      </c>
      <c r="C68" s="739"/>
      <c r="D68" s="39" t="e">
        <f t="shared" si="5"/>
        <v>#DIV/0!</v>
      </c>
      <c r="E68" s="39" t="e">
        <f t="shared" si="5"/>
        <v>#DIV/0!</v>
      </c>
      <c r="F68" s="39" t="e">
        <f t="shared" si="5"/>
        <v>#DIV/0!</v>
      </c>
      <c r="G68" s="39" t="e">
        <f t="shared" si="5"/>
        <v>#DIV/0!</v>
      </c>
      <c r="H68" s="39" t="e">
        <f t="shared" si="5"/>
        <v>#DIV/0!</v>
      </c>
      <c r="I68" s="39">
        <v>3.85</v>
      </c>
      <c r="J68" s="39" t="e">
        <f t="shared" si="12"/>
        <v>#DIV/0!</v>
      </c>
      <c r="K68" s="39" t="e">
        <f t="shared" si="12"/>
        <v>#DIV/0!</v>
      </c>
      <c r="L68" s="39" t="e">
        <f t="shared" si="12"/>
        <v>#DIV/0!</v>
      </c>
      <c r="M68" s="39" t="e">
        <f t="shared" si="12"/>
        <v>#DIV/0!</v>
      </c>
      <c r="N68" s="39" t="e">
        <f t="shared" si="12"/>
        <v>#DIV/0!</v>
      </c>
      <c r="O68" s="39" t="e">
        <f t="shared" si="1"/>
        <v>#DIV/0!</v>
      </c>
      <c r="P68" s="39" t="e">
        <f t="shared" si="1"/>
        <v>#DIV/0!</v>
      </c>
      <c r="Q68" s="39" t="e">
        <f t="shared" si="14"/>
        <v>#DIV/0!</v>
      </c>
      <c r="R68" s="39" t="e">
        <f t="shared" si="14"/>
        <v>#DIV/0!</v>
      </c>
      <c r="S68" s="39" t="e">
        <f t="shared" si="14"/>
        <v>#DIV/0!</v>
      </c>
      <c r="T68" s="39" t="e">
        <f t="shared" si="14"/>
        <v>#DIV/0!</v>
      </c>
      <c r="U68" s="39" t="e">
        <f t="shared" si="15"/>
        <v>#DIV/0!</v>
      </c>
      <c r="V68" s="39" t="e">
        <f t="shared" si="15"/>
        <v>#DIV/0!</v>
      </c>
      <c r="W68"/>
    </row>
    <row r="69" spans="1:23" ht="15.75" thickBot="1">
      <c r="A69" s="808" t="s">
        <v>1474</v>
      </c>
      <c r="B69" s="717">
        <v>1.4</v>
      </c>
      <c r="C69" s="739"/>
      <c r="D69" s="39" t="e">
        <f t="shared" si="5"/>
        <v>#DIV/0!</v>
      </c>
      <c r="E69" s="39" t="e">
        <f t="shared" si="5"/>
        <v>#DIV/0!</v>
      </c>
      <c r="F69" s="39" t="e">
        <f t="shared" si="5"/>
        <v>#DIV/0!</v>
      </c>
      <c r="G69" s="39" t="e">
        <f t="shared" si="5"/>
        <v>#DIV/0!</v>
      </c>
      <c r="H69" s="39" t="e">
        <f t="shared" si="5"/>
        <v>#DIV/0!</v>
      </c>
      <c r="I69" s="39">
        <v>3.85</v>
      </c>
      <c r="J69" s="39" t="e">
        <f t="shared" si="12"/>
        <v>#DIV/0!</v>
      </c>
      <c r="K69" s="39" t="e">
        <f t="shared" si="12"/>
        <v>#DIV/0!</v>
      </c>
      <c r="L69" s="39" t="e">
        <f t="shared" si="12"/>
        <v>#DIV/0!</v>
      </c>
      <c r="M69" s="39" t="e">
        <f t="shared" si="12"/>
        <v>#DIV/0!</v>
      </c>
      <c r="N69" s="39" t="e">
        <f t="shared" si="12"/>
        <v>#DIV/0!</v>
      </c>
      <c r="O69" s="39" t="e">
        <f t="shared" si="1"/>
        <v>#DIV/0!</v>
      </c>
      <c r="P69" s="39" t="e">
        <f t="shared" si="1"/>
        <v>#DIV/0!</v>
      </c>
      <c r="Q69" s="39" t="e">
        <f t="shared" si="14"/>
        <v>#DIV/0!</v>
      </c>
      <c r="R69" s="39" t="e">
        <f t="shared" si="14"/>
        <v>#DIV/0!</v>
      </c>
      <c r="S69" s="39" t="e">
        <f t="shared" si="14"/>
        <v>#DIV/0!</v>
      </c>
      <c r="T69" s="39" t="e">
        <f t="shared" si="14"/>
        <v>#DIV/0!</v>
      </c>
      <c r="U69" s="39" t="e">
        <f t="shared" si="15"/>
        <v>#DIV/0!</v>
      </c>
      <c r="V69" s="39" t="e">
        <f t="shared" si="15"/>
        <v>#DIV/0!</v>
      </c>
      <c r="W69"/>
    </row>
    <row r="70" spans="1:23" ht="15" customHeight="1" thickBot="1">
      <c r="A70" s="808" t="s">
        <v>1475</v>
      </c>
      <c r="B70" s="717">
        <v>1.4</v>
      </c>
      <c r="C70" s="739"/>
      <c r="D70" s="39" t="e">
        <f t="shared" si="5"/>
        <v>#DIV/0!</v>
      </c>
      <c r="E70" s="39" t="e">
        <f t="shared" si="5"/>
        <v>#DIV/0!</v>
      </c>
      <c r="F70" s="39" t="e">
        <f t="shared" si="5"/>
        <v>#DIV/0!</v>
      </c>
      <c r="G70" s="39" t="e">
        <f t="shared" si="5"/>
        <v>#DIV/0!</v>
      </c>
      <c r="H70" s="39" t="e">
        <f t="shared" si="5"/>
        <v>#DIV/0!</v>
      </c>
      <c r="I70" s="39">
        <v>3.85</v>
      </c>
      <c r="J70" s="39" t="e">
        <f t="shared" ref="J70:N109" si="16">1/0</f>
        <v>#DIV/0!</v>
      </c>
      <c r="K70" s="39" t="e">
        <f t="shared" si="16"/>
        <v>#DIV/0!</v>
      </c>
      <c r="L70" s="39" t="e">
        <f t="shared" si="16"/>
        <v>#DIV/0!</v>
      </c>
      <c r="M70" s="39" t="e">
        <f t="shared" si="16"/>
        <v>#DIV/0!</v>
      </c>
      <c r="N70" s="39" t="e">
        <f t="shared" si="16"/>
        <v>#DIV/0!</v>
      </c>
      <c r="O70" s="39" t="e">
        <f t="shared" si="1"/>
        <v>#DIV/0!</v>
      </c>
      <c r="P70" s="39" t="e">
        <f t="shared" si="1"/>
        <v>#DIV/0!</v>
      </c>
      <c r="Q70" s="39" t="e">
        <f t="shared" si="14"/>
        <v>#DIV/0!</v>
      </c>
      <c r="R70" s="39" t="e">
        <f t="shared" si="14"/>
        <v>#DIV/0!</v>
      </c>
      <c r="S70" s="39" t="e">
        <f t="shared" si="14"/>
        <v>#DIV/0!</v>
      </c>
      <c r="T70" s="39" t="e">
        <f t="shared" si="14"/>
        <v>#DIV/0!</v>
      </c>
      <c r="U70" s="39" t="e">
        <f t="shared" si="15"/>
        <v>#DIV/0!</v>
      </c>
      <c r="V70" s="39" t="e">
        <f t="shared" si="15"/>
        <v>#DIV/0!</v>
      </c>
      <c r="W70"/>
    </row>
    <row r="71" spans="1:23" ht="15.75" thickBot="1">
      <c r="A71" s="808" t="s">
        <v>1476</v>
      </c>
      <c r="B71" s="717">
        <v>1.4</v>
      </c>
      <c r="C71" s="739"/>
      <c r="D71" s="39" t="e">
        <f t="shared" si="5"/>
        <v>#DIV/0!</v>
      </c>
      <c r="E71" s="39" t="e">
        <f t="shared" si="5"/>
        <v>#DIV/0!</v>
      </c>
      <c r="F71" s="39" t="e">
        <f t="shared" si="5"/>
        <v>#DIV/0!</v>
      </c>
      <c r="G71" s="39" t="e">
        <f t="shared" si="5"/>
        <v>#DIV/0!</v>
      </c>
      <c r="H71" s="39" t="e">
        <f t="shared" si="5"/>
        <v>#DIV/0!</v>
      </c>
      <c r="I71" s="39">
        <v>3.85</v>
      </c>
      <c r="J71" s="39" t="e">
        <f t="shared" si="16"/>
        <v>#DIV/0!</v>
      </c>
      <c r="K71" s="39" t="e">
        <f t="shared" si="16"/>
        <v>#DIV/0!</v>
      </c>
      <c r="L71" s="39" t="e">
        <f t="shared" si="16"/>
        <v>#DIV/0!</v>
      </c>
      <c r="M71" s="39" t="e">
        <f t="shared" si="16"/>
        <v>#DIV/0!</v>
      </c>
      <c r="N71" s="39" t="e">
        <f t="shared" si="16"/>
        <v>#DIV/0!</v>
      </c>
      <c r="O71" s="39" t="e">
        <f t="shared" si="1"/>
        <v>#DIV/0!</v>
      </c>
      <c r="P71" s="39" t="e">
        <f t="shared" si="1"/>
        <v>#DIV/0!</v>
      </c>
      <c r="Q71" s="39" t="e">
        <f t="shared" si="14"/>
        <v>#DIV/0!</v>
      </c>
      <c r="R71" s="39" t="e">
        <f t="shared" si="14"/>
        <v>#DIV/0!</v>
      </c>
      <c r="S71" s="39" t="e">
        <f t="shared" si="14"/>
        <v>#DIV/0!</v>
      </c>
      <c r="T71" s="39" t="e">
        <f t="shared" si="14"/>
        <v>#DIV/0!</v>
      </c>
      <c r="U71" s="39" t="e">
        <f t="shared" si="15"/>
        <v>#DIV/0!</v>
      </c>
      <c r="V71" s="39" t="e">
        <f t="shared" si="15"/>
        <v>#DIV/0!</v>
      </c>
      <c r="W71"/>
    </row>
    <row r="72" spans="1:23" s="39" customFormat="1">
      <c r="A72" s="569" t="s">
        <v>1270</v>
      </c>
      <c r="B72" s="717">
        <v>1.4</v>
      </c>
      <c r="C72" s="739"/>
      <c r="D72" s="39" t="e">
        <f t="shared" ref="D72:H73" si="17">1/0</f>
        <v>#DIV/0!</v>
      </c>
      <c r="E72" s="39" t="e">
        <f t="shared" si="17"/>
        <v>#DIV/0!</v>
      </c>
      <c r="F72" s="39" t="e">
        <f t="shared" si="17"/>
        <v>#DIV/0!</v>
      </c>
      <c r="G72" s="39" t="e">
        <f t="shared" si="17"/>
        <v>#DIV/0!</v>
      </c>
      <c r="H72" s="39" t="e">
        <f t="shared" si="17"/>
        <v>#DIV/0!</v>
      </c>
      <c r="I72" s="39">
        <v>1.9</v>
      </c>
      <c r="J72" s="39" t="e">
        <f t="shared" si="16"/>
        <v>#DIV/0!</v>
      </c>
      <c r="K72" s="39" t="e">
        <f t="shared" si="16"/>
        <v>#DIV/0!</v>
      </c>
      <c r="L72" s="39" t="e">
        <f t="shared" si="16"/>
        <v>#DIV/0!</v>
      </c>
      <c r="M72" s="39" t="e">
        <f t="shared" si="16"/>
        <v>#DIV/0!</v>
      </c>
      <c r="N72" s="39" t="e">
        <f t="shared" si="16"/>
        <v>#DIV/0!</v>
      </c>
      <c r="O72" s="39" t="e">
        <f t="shared" si="1"/>
        <v>#DIV/0!</v>
      </c>
      <c r="P72" s="39" t="e">
        <f t="shared" si="1"/>
        <v>#DIV/0!</v>
      </c>
      <c r="Q72" s="39" t="e">
        <f t="shared" si="1"/>
        <v>#DIV/0!</v>
      </c>
      <c r="R72" s="39" t="e">
        <f t="shared" si="1"/>
        <v>#DIV/0!</v>
      </c>
      <c r="S72" s="39" t="e">
        <f t="shared" si="1"/>
        <v>#DIV/0!</v>
      </c>
      <c r="T72" s="39" t="e">
        <f t="shared" si="1"/>
        <v>#DIV/0!</v>
      </c>
      <c r="U72" s="39" t="e">
        <f>1/0</f>
        <v>#DIV/0!</v>
      </c>
      <c r="V72" s="39" t="e">
        <f>1/0</f>
        <v>#DIV/0!</v>
      </c>
    </row>
    <row r="73" spans="1:23" s="39" customFormat="1" ht="15.75" thickBot="1">
      <c r="A73" s="808" t="s">
        <v>1478</v>
      </c>
      <c r="B73" s="718"/>
      <c r="C73" s="739"/>
      <c r="D73" s="39" t="e">
        <f t="shared" si="17"/>
        <v>#DIV/0!</v>
      </c>
      <c r="E73" s="39" t="e">
        <f t="shared" si="17"/>
        <v>#DIV/0!</v>
      </c>
      <c r="F73" s="39" t="e">
        <f t="shared" si="17"/>
        <v>#DIV/0!</v>
      </c>
      <c r="G73" s="39" t="e">
        <f t="shared" si="17"/>
        <v>#DIV/0!</v>
      </c>
      <c r="H73" s="39" t="e">
        <f t="shared" si="17"/>
        <v>#DIV/0!</v>
      </c>
      <c r="I73" s="39">
        <v>3.85</v>
      </c>
      <c r="J73" s="39" t="e">
        <f t="shared" si="16"/>
        <v>#DIV/0!</v>
      </c>
      <c r="K73" s="39" t="e">
        <f t="shared" si="16"/>
        <v>#DIV/0!</v>
      </c>
      <c r="L73" s="39" t="e">
        <f t="shared" si="16"/>
        <v>#DIV/0!</v>
      </c>
      <c r="M73" s="39" t="e">
        <f t="shared" si="16"/>
        <v>#DIV/0!</v>
      </c>
      <c r="N73" s="39" t="e">
        <f t="shared" si="16"/>
        <v>#DIV/0!</v>
      </c>
      <c r="O73" s="39" t="e">
        <f t="shared" si="1"/>
        <v>#DIV/0!</v>
      </c>
      <c r="P73" s="39" t="e">
        <f t="shared" si="1"/>
        <v>#DIV/0!</v>
      </c>
      <c r="Q73" s="39" t="e">
        <f t="shared" si="1"/>
        <v>#DIV/0!</v>
      </c>
      <c r="R73" s="39" t="e">
        <f t="shared" si="1"/>
        <v>#DIV/0!</v>
      </c>
      <c r="S73" s="39" t="e">
        <f t="shared" si="1"/>
        <v>#DIV/0!</v>
      </c>
      <c r="T73" s="39" t="e">
        <f t="shared" si="1"/>
        <v>#DIV/0!</v>
      </c>
      <c r="U73" s="39" t="e">
        <f>1/0</f>
        <v>#DIV/0!</v>
      </c>
      <c r="V73" s="39" t="e">
        <f>1/0</f>
        <v>#DIV/0!</v>
      </c>
    </row>
    <row r="74" spans="1:23" s="39" customFormat="1" ht="15.75" thickBot="1">
      <c r="A74" s="808" t="s">
        <v>1477</v>
      </c>
      <c r="B74" s="717">
        <v>1.4</v>
      </c>
      <c r="C74" s="739"/>
      <c r="D74" s="39" t="e">
        <f t="shared" si="5"/>
        <v>#DIV/0!</v>
      </c>
      <c r="E74" s="39" t="e">
        <f t="shared" si="5"/>
        <v>#DIV/0!</v>
      </c>
      <c r="F74" s="39" t="e">
        <f t="shared" si="5"/>
        <v>#DIV/0!</v>
      </c>
      <c r="G74" s="39" t="e">
        <f t="shared" si="5"/>
        <v>#DIV/0!</v>
      </c>
      <c r="H74" s="39" t="e">
        <f t="shared" si="5"/>
        <v>#DIV/0!</v>
      </c>
      <c r="I74" s="39">
        <v>3.85</v>
      </c>
      <c r="J74" s="39" t="e">
        <f t="shared" si="16"/>
        <v>#DIV/0!</v>
      </c>
      <c r="K74" s="39" t="e">
        <f t="shared" si="16"/>
        <v>#DIV/0!</v>
      </c>
      <c r="L74" s="39" t="e">
        <f t="shared" si="16"/>
        <v>#DIV/0!</v>
      </c>
      <c r="M74" s="39" t="e">
        <f t="shared" si="16"/>
        <v>#DIV/0!</v>
      </c>
      <c r="N74" s="39" t="e">
        <f t="shared" si="16"/>
        <v>#DIV/0!</v>
      </c>
      <c r="O74" s="39" t="e">
        <f t="shared" si="1"/>
        <v>#DIV/0!</v>
      </c>
      <c r="P74" s="39" t="e">
        <f t="shared" si="1"/>
        <v>#DIV/0!</v>
      </c>
      <c r="Q74" s="39" t="e">
        <f t="shared" si="14"/>
        <v>#DIV/0!</v>
      </c>
      <c r="R74" s="39" t="e">
        <f t="shared" si="14"/>
        <v>#DIV/0!</v>
      </c>
      <c r="S74" s="39" t="e">
        <f t="shared" si="14"/>
        <v>#DIV/0!</v>
      </c>
      <c r="T74" s="39" t="e">
        <f t="shared" si="14"/>
        <v>#DIV/0!</v>
      </c>
      <c r="U74" s="39" t="e">
        <f t="shared" si="15"/>
        <v>#DIV/0!</v>
      </c>
      <c r="V74" s="39" t="e">
        <f t="shared" si="15"/>
        <v>#DIV/0!</v>
      </c>
    </row>
    <row r="75" spans="1:23" ht="15.75" thickBot="1">
      <c r="A75" s="808" t="s">
        <v>1505</v>
      </c>
      <c r="B75" s="717">
        <v>1.4</v>
      </c>
      <c r="C75" s="739"/>
      <c r="D75" s="39" t="e">
        <f t="shared" si="5"/>
        <v>#DIV/0!</v>
      </c>
      <c r="E75" s="39" t="e">
        <f t="shared" si="5"/>
        <v>#DIV/0!</v>
      </c>
      <c r="F75" s="39" t="e">
        <f t="shared" si="5"/>
        <v>#DIV/0!</v>
      </c>
      <c r="G75" s="39" t="e">
        <f t="shared" si="5"/>
        <v>#DIV/0!</v>
      </c>
      <c r="H75" s="39" t="e">
        <f t="shared" si="5"/>
        <v>#DIV/0!</v>
      </c>
      <c r="I75" s="39">
        <v>1.7</v>
      </c>
      <c r="J75" s="39" t="e">
        <f t="shared" si="16"/>
        <v>#DIV/0!</v>
      </c>
      <c r="K75" s="39" t="e">
        <f t="shared" si="16"/>
        <v>#DIV/0!</v>
      </c>
      <c r="L75" s="39" t="e">
        <f t="shared" si="16"/>
        <v>#DIV/0!</v>
      </c>
      <c r="M75" s="39" t="e">
        <f t="shared" si="16"/>
        <v>#DIV/0!</v>
      </c>
      <c r="N75" s="39" t="e">
        <f t="shared" si="16"/>
        <v>#DIV/0!</v>
      </c>
      <c r="O75" s="39" t="e">
        <f t="shared" si="1"/>
        <v>#DIV/0!</v>
      </c>
      <c r="P75" s="39" t="e">
        <f t="shared" si="1"/>
        <v>#DIV/0!</v>
      </c>
      <c r="Q75" s="39" t="e">
        <f t="shared" si="14"/>
        <v>#DIV/0!</v>
      </c>
      <c r="R75" s="39" t="e">
        <f t="shared" si="14"/>
        <v>#DIV/0!</v>
      </c>
      <c r="S75" s="39" t="e">
        <f t="shared" si="14"/>
        <v>#DIV/0!</v>
      </c>
      <c r="T75" s="39" t="e">
        <f t="shared" si="14"/>
        <v>#DIV/0!</v>
      </c>
      <c r="U75" s="39" t="e">
        <f t="shared" si="15"/>
        <v>#DIV/0!</v>
      </c>
      <c r="V75" s="39" t="e">
        <f t="shared" si="15"/>
        <v>#DIV/0!</v>
      </c>
      <c r="W75"/>
    </row>
    <row r="76" spans="1:23" s="39" customFormat="1" ht="15.75" thickBot="1">
      <c r="A76" s="808" t="s">
        <v>1506</v>
      </c>
      <c r="B76" s="717">
        <v>1.4</v>
      </c>
      <c r="C76" s="739"/>
      <c r="D76" s="39" t="e">
        <f t="shared" si="5"/>
        <v>#DIV/0!</v>
      </c>
      <c r="E76" s="39" t="e">
        <f t="shared" si="5"/>
        <v>#DIV/0!</v>
      </c>
      <c r="F76" s="39" t="e">
        <f t="shared" si="5"/>
        <v>#DIV/0!</v>
      </c>
      <c r="G76" s="39" t="e">
        <f t="shared" si="5"/>
        <v>#DIV/0!</v>
      </c>
      <c r="H76" s="39" t="e">
        <f t="shared" si="5"/>
        <v>#DIV/0!</v>
      </c>
      <c r="I76" s="39">
        <v>1.7</v>
      </c>
      <c r="J76" s="39" t="e">
        <f t="shared" si="16"/>
        <v>#DIV/0!</v>
      </c>
      <c r="K76" s="39" t="e">
        <f t="shared" si="16"/>
        <v>#DIV/0!</v>
      </c>
      <c r="L76" s="39" t="e">
        <f t="shared" si="16"/>
        <v>#DIV/0!</v>
      </c>
      <c r="M76" s="39" t="e">
        <f t="shared" si="16"/>
        <v>#DIV/0!</v>
      </c>
      <c r="N76" s="39" t="e">
        <f t="shared" si="16"/>
        <v>#DIV/0!</v>
      </c>
      <c r="O76" s="39" t="e">
        <f t="shared" si="1"/>
        <v>#DIV/0!</v>
      </c>
      <c r="P76" s="39" t="e">
        <f t="shared" si="1"/>
        <v>#DIV/0!</v>
      </c>
      <c r="Q76" s="39" t="e">
        <f t="shared" si="14"/>
        <v>#DIV/0!</v>
      </c>
      <c r="R76" s="39" t="e">
        <f t="shared" si="14"/>
        <v>#DIV/0!</v>
      </c>
      <c r="S76" s="39" t="e">
        <f t="shared" si="14"/>
        <v>#DIV/0!</v>
      </c>
      <c r="T76" s="39" t="e">
        <f t="shared" si="14"/>
        <v>#DIV/0!</v>
      </c>
      <c r="U76" s="39" t="e">
        <f t="shared" si="15"/>
        <v>#DIV/0!</v>
      </c>
      <c r="V76" s="39" t="e">
        <f t="shared" si="15"/>
        <v>#DIV/0!</v>
      </c>
    </row>
    <row r="77" spans="1:23" s="39" customFormat="1" ht="15.75" thickBot="1">
      <c r="A77" s="808" t="s">
        <v>1507</v>
      </c>
      <c r="B77" s="717">
        <v>1.4</v>
      </c>
      <c r="C77" s="739"/>
      <c r="D77" s="39" t="e">
        <f t="shared" si="5"/>
        <v>#DIV/0!</v>
      </c>
      <c r="E77" s="39" t="e">
        <f t="shared" si="5"/>
        <v>#DIV/0!</v>
      </c>
      <c r="F77" s="39" t="e">
        <f t="shared" si="5"/>
        <v>#DIV/0!</v>
      </c>
      <c r="G77" s="39" t="e">
        <f t="shared" si="5"/>
        <v>#DIV/0!</v>
      </c>
      <c r="H77" s="39" t="e">
        <f t="shared" si="5"/>
        <v>#DIV/0!</v>
      </c>
      <c r="I77" s="39">
        <v>1.7</v>
      </c>
      <c r="J77" s="39" t="e">
        <f t="shared" si="16"/>
        <v>#DIV/0!</v>
      </c>
      <c r="K77" s="39" t="e">
        <f t="shared" si="16"/>
        <v>#DIV/0!</v>
      </c>
      <c r="L77" s="39" t="e">
        <f t="shared" si="16"/>
        <v>#DIV/0!</v>
      </c>
      <c r="M77" s="39" t="e">
        <f t="shared" si="16"/>
        <v>#DIV/0!</v>
      </c>
      <c r="N77" s="39" t="e">
        <f t="shared" si="16"/>
        <v>#DIV/0!</v>
      </c>
      <c r="O77" s="39" t="e">
        <f t="shared" si="1"/>
        <v>#DIV/0!</v>
      </c>
      <c r="P77" s="39" t="e">
        <f t="shared" si="1"/>
        <v>#DIV/0!</v>
      </c>
      <c r="Q77" s="39" t="e">
        <f t="shared" si="14"/>
        <v>#DIV/0!</v>
      </c>
      <c r="R77" s="39" t="e">
        <f t="shared" si="14"/>
        <v>#DIV/0!</v>
      </c>
      <c r="S77" s="39" t="e">
        <f t="shared" si="14"/>
        <v>#DIV/0!</v>
      </c>
      <c r="T77" s="39" t="e">
        <f t="shared" si="14"/>
        <v>#DIV/0!</v>
      </c>
      <c r="U77" s="39" t="e">
        <f t="shared" si="15"/>
        <v>#DIV/0!</v>
      </c>
      <c r="V77" s="39" t="e">
        <f t="shared" si="15"/>
        <v>#DIV/0!</v>
      </c>
    </row>
    <row r="78" spans="1:23" s="39" customFormat="1" ht="15.75" thickBot="1">
      <c r="A78" s="808" t="s">
        <v>1479</v>
      </c>
      <c r="B78" s="717">
        <v>1.4</v>
      </c>
      <c r="C78" s="739"/>
      <c r="D78" s="39" t="e">
        <f t="shared" si="5"/>
        <v>#DIV/0!</v>
      </c>
      <c r="E78" s="39" t="e">
        <f t="shared" si="5"/>
        <v>#DIV/0!</v>
      </c>
      <c r="F78" s="39" t="e">
        <f t="shared" si="5"/>
        <v>#DIV/0!</v>
      </c>
      <c r="G78" s="39" t="e">
        <f t="shared" si="5"/>
        <v>#DIV/0!</v>
      </c>
      <c r="H78" s="39" t="e">
        <f t="shared" si="5"/>
        <v>#DIV/0!</v>
      </c>
      <c r="I78" s="39">
        <v>3.85</v>
      </c>
      <c r="J78" s="39" t="e">
        <f t="shared" si="16"/>
        <v>#DIV/0!</v>
      </c>
      <c r="K78" s="39" t="e">
        <f t="shared" si="16"/>
        <v>#DIV/0!</v>
      </c>
      <c r="L78" s="39" t="e">
        <f t="shared" si="16"/>
        <v>#DIV/0!</v>
      </c>
      <c r="M78" s="39" t="e">
        <f t="shared" si="16"/>
        <v>#DIV/0!</v>
      </c>
      <c r="N78" s="39" t="e">
        <f t="shared" si="16"/>
        <v>#DIV/0!</v>
      </c>
      <c r="O78" s="39" t="e">
        <f t="shared" si="1"/>
        <v>#DIV/0!</v>
      </c>
      <c r="P78" s="39" t="e">
        <f t="shared" si="1"/>
        <v>#DIV/0!</v>
      </c>
      <c r="Q78" s="39" t="e">
        <f t="shared" si="14"/>
        <v>#DIV/0!</v>
      </c>
      <c r="R78" s="39" t="e">
        <f t="shared" si="14"/>
        <v>#DIV/0!</v>
      </c>
      <c r="S78" s="39" t="e">
        <f t="shared" si="14"/>
        <v>#DIV/0!</v>
      </c>
      <c r="T78" s="39" t="e">
        <f t="shared" si="14"/>
        <v>#DIV/0!</v>
      </c>
      <c r="U78" s="39" t="e">
        <f t="shared" si="15"/>
        <v>#DIV/0!</v>
      </c>
      <c r="V78" s="39" t="e">
        <f t="shared" si="15"/>
        <v>#DIV/0!</v>
      </c>
    </row>
    <row r="79" spans="1:23" s="39" customFormat="1" ht="15.75" thickBot="1">
      <c r="A79" s="808" t="s">
        <v>1493</v>
      </c>
      <c r="B79" s="717">
        <v>1.4</v>
      </c>
      <c r="C79" s="739"/>
      <c r="D79" s="39" t="e">
        <f t="shared" si="5"/>
        <v>#DIV/0!</v>
      </c>
      <c r="E79" s="39" t="e">
        <f t="shared" si="5"/>
        <v>#DIV/0!</v>
      </c>
      <c r="F79" s="39" t="e">
        <f t="shared" si="5"/>
        <v>#DIV/0!</v>
      </c>
      <c r="G79" s="39" t="e">
        <f t="shared" si="5"/>
        <v>#DIV/0!</v>
      </c>
      <c r="H79" s="39" t="e">
        <f t="shared" si="5"/>
        <v>#DIV/0!</v>
      </c>
      <c r="I79" s="44">
        <v>2.2000000000000002</v>
      </c>
      <c r="J79" s="39" t="e">
        <f t="shared" si="16"/>
        <v>#DIV/0!</v>
      </c>
      <c r="K79" s="39" t="e">
        <f t="shared" si="16"/>
        <v>#DIV/0!</v>
      </c>
      <c r="L79" s="39" t="e">
        <f t="shared" si="16"/>
        <v>#DIV/0!</v>
      </c>
      <c r="M79" s="39" t="e">
        <f t="shared" si="16"/>
        <v>#DIV/0!</v>
      </c>
      <c r="N79" s="39" t="e">
        <f t="shared" si="16"/>
        <v>#DIV/0!</v>
      </c>
      <c r="O79" s="39" t="e">
        <f t="shared" si="1"/>
        <v>#DIV/0!</v>
      </c>
      <c r="P79" s="39" t="e">
        <f t="shared" si="1"/>
        <v>#DIV/0!</v>
      </c>
      <c r="Q79" s="39" t="e">
        <f t="shared" si="14"/>
        <v>#DIV/0!</v>
      </c>
      <c r="R79" s="39" t="e">
        <f t="shared" si="14"/>
        <v>#DIV/0!</v>
      </c>
      <c r="S79" s="39" t="e">
        <f t="shared" si="14"/>
        <v>#DIV/0!</v>
      </c>
      <c r="T79" s="39" t="e">
        <f t="shared" si="14"/>
        <v>#DIV/0!</v>
      </c>
      <c r="U79" s="39" t="e">
        <f t="shared" si="15"/>
        <v>#DIV/0!</v>
      </c>
      <c r="V79" s="39" t="e">
        <f t="shared" si="15"/>
        <v>#DIV/0!</v>
      </c>
    </row>
    <row r="80" spans="1:23" ht="15.75" thickBot="1">
      <c r="A80" s="808" t="s">
        <v>1480</v>
      </c>
      <c r="B80" s="717">
        <v>1.4</v>
      </c>
      <c r="C80" s="739"/>
      <c r="D80" s="39" t="e">
        <f t="shared" si="5"/>
        <v>#DIV/0!</v>
      </c>
      <c r="E80" s="39" t="e">
        <f t="shared" si="5"/>
        <v>#DIV/0!</v>
      </c>
      <c r="F80" s="39" t="e">
        <f t="shared" si="5"/>
        <v>#DIV/0!</v>
      </c>
      <c r="G80" s="39" t="e">
        <f t="shared" si="5"/>
        <v>#DIV/0!</v>
      </c>
      <c r="H80" s="39" t="e">
        <f t="shared" si="5"/>
        <v>#DIV/0!</v>
      </c>
      <c r="I80" s="39">
        <v>3.85</v>
      </c>
      <c r="J80" s="39" t="e">
        <f t="shared" si="16"/>
        <v>#DIV/0!</v>
      </c>
      <c r="K80" s="39" t="e">
        <f t="shared" si="16"/>
        <v>#DIV/0!</v>
      </c>
      <c r="L80" s="39" t="e">
        <f t="shared" si="16"/>
        <v>#DIV/0!</v>
      </c>
      <c r="M80" s="39" t="e">
        <f t="shared" si="16"/>
        <v>#DIV/0!</v>
      </c>
      <c r="N80" s="39" t="e">
        <f t="shared" si="16"/>
        <v>#DIV/0!</v>
      </c>
      <c r="O80" s="39" t="e">
        <f t="shared" si="1"/>
        <v>#DIV/0!</v>
      </c>
      <c r="P80" s="39" t="e">
        <f t="shared" si="1"/>
        <v>#DIV/0!</v>
      </c>
      <c r="Q80" s="39" t="e">
        <f t="shared" si="14"/>
        <v>#DIV/0!</v>
      </c>
      <c r="R80" s="39" t="e">
        <f t="shared" si="14"/>
        <v>#DIV/0!</v>
      </c>
      <c r="S80" s="39" t="e">
        <f t="shared" si="14"/>
        <v>#DIV/0!</v>
      </c>
      <c r="T80" s="39" t="e">
        <f t="shared" si="14"/>
        <v>#DIV/0!</v>
      </c>
      <c r="U80" s="39" t="e">
        <f t="shared" si="15"/>
        <v>#DIV/0!</v>
      </c>
      <c r="V80" s="39" t="e">
        <f t="shared" si="15"/>
        <v>#DIV/0!</v>
      </c>
      <c r="W80"/>
    </row>
    <row r="81" spans="1:23" ht="15.75" thickBot="1">
      <c r="A81" s="808" t="s">
        <v>1481</v>
      </c>
      <c r="B81" s="717">
        <v>1.4</v>
      </c>
      <c r="C81" s="739"/>
      <c r="D81" s="39" t="e">
        <f t="shared" si="5"/>
        <v>#DIV/0!</v>
      </c>
      <c r="E81" s="39" t="e">
        <f t="shared" si="5"/>
        <v>#DIV/0!</v>
      </c>
      <c r="F81" s="39" t="e">
        <f t="shared" si="5"/>
        <v>#DIV/0!</v>
      </c>
      <c r="G81" s="39" t="e">
        <f t="shared" si="5"/>
        <v>#DIV/0!</v>
      </c>
      <c r="H81" s="39" t="e">
        <f t="shared" si="5"/>
        <v>#DIV/0!</v>
      </c>
      <c r="I81" s="39">
        <v>3.85</v>
      </c>
      <c r="J81" s="39" t="e">
        <f t="shared" si="16"/>
        <v>#DIV/0!</v>
      </c>
      <c r="K81" s="39" t="e">
        <f t="shared" si="16"/>
        <v>#DIV/0!</v>
      </c>
      <c r="L81" s="39" t="e">
        <f t="shared" si="16"/>
        <v>#DIV/0!</v>
      </c>
      <c r="M81" s="39" t="e">
        <f t="shared" si="16"/>
        <v>#DIV/0!</v>
      </c>
      <c r="N81" s="39" t="e">
        <f t="shared" si="16"/>
        <v>#DIV/0!</v>
      </c>
      <c r="O81" s="39" t="e">
        <f t="shared" si="1"/>
        <v>#DIV/0!</v>
      </c>
      <c r="P81" s="39" t="e">
        <f t="shared" si="1"/>
        <v>#DIV/0!</v>
      </c>
      <c r="Q81" s="39" t="e">
        <f t="shared" si="14"/>
        <v>#DIV/0!</v>
      </c>
      <c r="R81" s="39" t="e">
        <f t="shared" si="14"/>
        <v>#DIV/0!</v>
      </c>
      <c r="S81" s="39" t="e">
        <f t="shared" si="14"/>
        <v>#DIV/0!</v>
      </c>
      <c r="T81" s="39" t="e">
        <f t="shared" si="14"/>
        <v>#DIV/0!</v>
      </c>
      <c r="U81" s="39" t="e">
        <f t="shared" si="15"/>
        <v>#DIV/0!</v>
      </c>
      <c r="V81" s="39" t="e">
        <f t="shared" si="15"/>
        <v>#DIV/0!</v>
      </c>
      <c r="W81"/>
    </row>
    <row r="82" spans="1:23" ht="15.75" thickBot="1">
      <c r="A82" s="808" t="s">
        <v>1482</v>
      </c>
      <c r="B82" s="717">
        <v>1.4</v>
      </c>
      <c r="C82" s="739"/>
      <c r="D82" s="39" t="e">
        <f t="shared" si="5"/>
        <v>#DIV/0!</v>
      </c>
      <c r="E82" s="39" t="e">
        <f t="shared" si="5"/>
        <v>#DIV/0!</v>
      </c>
      <c r="F82" s="39" t="e">
        <f t="shared" si="5"/>
        <v>#DIV/0!</v>
      </c>
      <c r="G82" s="39" t="e">
        <f t="shared" si="5"/>
        <v>#DIV/0!</v>
      </c>
      <c r="H82" s="39" t="e">
        <f t="shared" si="5"/>
        <v>#DIV/0!</v>
      </c>
      <c r="I82" s="39">
        <v>3.85</v>
      </c>
      <c r="J82" s="39" t="e">
        <f t="shared" si="16"/>
        <v>#DIV/0!</v>
      </c>
      <c r="K82" s="39" t="e">
        <f t="shared" si="16"/>
        <v>#DIV/0!</v>
      </c>
      <c r="L82" s="39" t="e">
        <f t="shared" si="16"/>
        <v>#DIV/0!</v>
      </c>
      <c r="M82" s="39" t="e">
        <f t="shared" si="16"/>
        <v>#DIV/0!</v>
      </c>
      <c r="N82" s="39" t="e">
        <f t="shared" si="16"/>
        <v>#DIV/0!</v>
      </c>
      <c r="O82" s="39" t="e">
        <f t="shared" si="1"/>
        <v>#DIV/0!</v>
      </c>
      <c r="P82" s="39" t="e">
        <f t="shared" si="1"/>
        <v>#DIV/0!</v>
      </c>
      <c r="Q82" s="39" t="e">
        <f t="shared" si="14"/>
        <v>#DIV/0!</v>
      </c>
      <c r="R82" s="39" t="e">
        <f t="shared" si="14"/>
        <v>#DIV/0!</v>
      </c>
      <c r="S82" s="39" t="e">
        <f t="shared" si="14"/>
        <v>#DIV/0!</v>
      </c>
      <c r="T82" s="39" t="e">
        <f t="shared" si="14"/>
        <v>#DIV/0!</v>
      </c>
      <c r="U82" s="39" t="e">
        <f t="shared" si="15"/>
        <v>#DIV/0!</v>
      </c>
      <c r="V82" s="39" t="e">
        <f t="shared" si="15"/>
        <v>#DIV/0!</v>
      </c>
      <c r="W82"/>
    </row>
    <row r="83" spans="1:23" ht="15.75" thickBot="1">
      <c r="A83" s="808" t="s">
        <v>1494</v>
      </c>
      <c r="B83" s="717">
        <v>1.4</v>
      </c>
      <c r="C83" s="739"/>
      <c r="D83" s="39" t="e">
        <f t="shared" si="5"/>
        <v>#DIV/0!</v>
      </c>
      <c r="E83" s="39" t="e">
        <f t="shared" si="5"/>
        <v>#DIV/0!</v>
      </c>
      <c r="F83" s="39" t="e">
        <f t="shared" si="5"/>
        <v>#DIV/0!</v>
      </c>
      <c r="G83" s="39" t="e">
        <f t="shared" si="5"/>
        <v>#DIV/0!</v>
      </c>
      <c r="H83" s="39" t="e">
        <f t="shared" si="5"/>
        <v>#DIV/0!</v>
      </c>
      <c r="I83" s="44">
        <v>2.2000000000000002</v>
      </c>
      <c r="J83" s="39" t="e">
        <f t="shared" si="16"/>
        <v>#DIV/0!</v>
      </c>
      <c r="K83" s="39" t="e">
        <f t="shared" si="16"/>
        <v>#DIV/0!</v>
      </c>
      <c r="L83" s="39" t="e">
        <f t="shared" si="16"/>
        <v>#DIV/0!</v>
      </c>
      <c r="M83" s="39" t="e">
        <f t="shared" si="16"/>
        <v>#DIV/0!</v>
      </c>
      <c r="N83" s="39" t="e">
        <f t="shared" si="16"/>
        <v>#DIV/0!</v>
      </c>
      <c r="O83" s="39" t="e">
        <f t="shared" si="1"/>
        <v>#DIV/0!</v>
      </c>
      <c r="P83" s="39" t="e">
        <f t="shared" si="1"/>
        <v>#DIV/0!</v>
      </c>
      <c r="Q83" s="39" t="e">
        <f t="shared" si="14"/>
        <v>#DIV/0!</v>
      </c>
      <c r="R83" s="39" t="e">
        <f t="shared" si="14"/>
        <v>#DIV/0!</v>
      </c>
      <c r="S83" s="39" t="e">
        <f t="shared" si="14"/>
        <v>#DIV/0!</v>
      </c>
      <c r="T83" s="39" t="e">
        <f t="shared" si="14"/>
        <v>#DIV/0!</v>
      </c>
      <c r="U83" s="39" t="e">
        <f t="shared" si="15"/>
        <v>#DIV/0!</v>
      </c>
      <c r="V83" s="39" t="e">
        <f t="shared" si="15"/>
        <v>#DIV/0!</v>
      </c>
      <c r="W83"/>
    </row>
    <row r="84" spans="1:23" ht="15.75" thickBot="1">
      <c r="A84" s="808" t="s">
        <v>1483</v>
      </c>
      <c r="B84" s="717">
        <v>1.4</v>
      </c>
      <c r="C84" s="739"/>
      <c r="D84" s="39" t="e">
        <f t="shared" si="5"/>
        <v>#DIV/0!</v>
      </c>
      <c r="E84" s="39" t="e">
        <f t="shared" si="5"/>
        <v>#DIV/0!</v>
      </c>
      <c r="F84" s="39" t="e">
        <f t="shared" si="5"/>
        <v>#DIV/0!</v>
      </c>
      <c r="G84" s="39" t="e">
        <f t="shared" si="5"/>
        <v>#DIV/0!</v>
      </c>
      <c r="H84" s="39" t="e">
        <f t="shared" si="5"/>
        <v>#DIV/0!</v>
      </c>
      <c r="I84" s="39">
        <v>3.85</v>
      </c>
      <c r="J84" s="39" t="e">
        <f t="shared" si="16"/>
        <v>#DIV/0!</v>
      </c>
      <c r="K84" s="39" t="e">
        <f t="shared" si="16"/>
        <v>#DIV/0!</v>
      </c>
      <c r="L84" s="39" t="e">
        <f t="shared" si="16"/>
        <v>#DIV/0!</v>
      </c>
      <c r="M84" s="39" t="e">
        <f t="shared" si="16"/>
        <v>#DIV/0!</v>
      </c>
      <c r="N84" s="39" t="e">
        <f t="shared" si="16"/>
        <v>#DIV/0!</v>
      </c>
      <c r="O84" s="39" t="e">
        <f t="shared" si="1"/>
        <v>#DIV/0!</v>
      </c>
      <c r="P84" s="39" t="e">
        <f t="shared" si="1"/>
        <v>#DIV/0!</v>
      </c>
      <c r="Q84" s="39" t="e">
        <f t="shared" si="14"/>
        <v>#DIV/0!</v>
      </c>
      <c r="R84" s="39" t="e">
        <f t="shared" si="14"/>
        <v>#DIV/0!</v>
      </c>
      <c r="S84" s="39" t="e">
        <f t="shared" si="14"/>
        <v>#DIV/0!</v>
      </c>
      <c r="T84" s="39" t="e">
        <f t="shared" si="14"/>
        <v>#DIV/0!</v>
      </c>
      <c r="U84" s="39" t="e">
        <f t="shared" si="15"/>
        <v>#DIV/0!</v>
      </c>
      <c r="V84" s="39" t="e">
        <f t="shared" si="15"/>
        <v>#DIV/0!</v>
      </c>
      <c r="W84"/>
    </row>
    <row r="85" spans="1:23" ht="15.75" thickBot="1">
      <c r="A85" s="808" t="s">
        <v>1495</v>
      </c>
      <c r="B85" s="717">
        <v>1.4</v>
      </c>
      <c r="C85" s="739"/>
      <c r="D85" s="39" t="e">
        <f t="shared" si="5"/>
        <v>#DIV/0!</v>
      </c>
      <c r="E85" s="39" t="e">
        <f t="shared" si="5"/>
        <v>#DIV/0!</v>
      </c>
      <c r="F85" s="39" t="e">
        <f t="shared" si="5"/>
        <v>#DIV/0!</v>
      </c>
      <c r="G85" s="39" t="e">
        <f t="shared" si="5"/>
        <v>#DIV/0!</v>
      </c>
      <c r="H85" s="39" t="e">
        <f t="shared" si="5"/>
        <v>#DIV/0!</v>
      </c>
      <c r="I85" s="39">
        <v>2.2000000000000002</v>
      </c>
      <c r="J85" s="39" t="e">
        <f t="shared" si="16"/>
        <v>#DIV/0!</v>
      </c>
      <c r="K85" s="39" t="e">
        <f t="shared" si="16"/>
        <v>#DIV/0!</v>
      </c>
      <c r="L85" s="39" t="e">
        <f t="shared" si="16"/>
        <v>#DIV/0!</v>
      </c>
      <c r="M85" s="39" t="e">
        <f t="shared" si="16"/>
        <v>#DIV/0!</v>
      </c>
      <c r="N85" s="39" t="e">
        <f t="shared" si="16"/>
        <v>#DIV/0!</v>
      </c>
      <c r="O85" s="39" t="e">
        <f t="shared" si="1"/>
        <v>#DIV/0!</v>
      </c>
      <c r="P85" s="39" t="e">
        <f t="shared" si="1"/>
        <v>#DIV/0!</v>
      </c>
      <c r="Q85" s="39" t="e">
        <f t="shared" si="14"/>
        <v>#DIV/0!</v>
      </c>
      <c r="R85" s="39" t="e">
        <f t="shared" si="14"/>
        <v>#DIV/0!</v>
      </c>
      <c r="S85" s="39" t="e">
        <f t="shared" si="14"/>
        <v>#DIV/0!</v>
      </c>
      <c r="T85" s="39" t="e">
        <f t="shared" si="14"/>
        <v>#DIV/0!</v>
      </c>
      <c r="U85" s="39" t="e">
        <f t="shared" si="15"/>
        <v>#DIV/0!</v>
      </c>
      <c r="V85" s="39" t="e">
        <f t="shared" si="15"/>
        <v>#DIV/0!</v>
      </c>
      <c r="W85"/>
    </row>
    <row r="86" spans="1:23" ht="15.75" thickBot="1">
      <c r="A86" s="808" t="s">
        <v>1497</v>
      </c>
      <c r="B86" s="717">
        <v>1.4</v>
      </c>
      <c r="C86" s="739"/>
      <c r="D86" s="39" t="e">
        <f t="shared" si="5"/>
        <v>#DIV/0!</v>
      </c>
      <c r="E86" s="39" t="e">
        <f t="shared" si="5"/>
        <v>#DIV/0!</v>
      </c>
      <c r="F86" s="39" t="e">
        <f t="shared" si="5"/>
        <v>#DIV/0!</v>
      </c>
      <c r="G86" s="39" t="e">
        <f t="shared" si="5"/>
        <v>#DIV/0!</v>
      </c>
      <c r="H86" s="39" t="e">
        <f t="shared" si="5"/>
        <v>#DIV/0!</v>
      </c>
      <c r="I86" s="39">
        <v>2.5</v>
      </c>
      <c r="J86" s="39" t="e">
        <f t="shared" si="16"/>
        <v>#DIV/0!</v>
      </c>
      <c r="K86" s="39" t="e">
        <f t="shared" si="16"/>
        <v>#DIV/0!</v>
      </c>
      <c r="L86" s="39" t="e">
        <f t="shared" si="16"/>
        <v>#DIV/0!</v>
      </c>
      <c r="M86" s="39" t="e">
        <f t="shared" si="16"/>
        <v>#DIV/0!</v>
      </c>
      <c r="N86" s="39" t="e">
        <f t="shared" si="16"/>
        <v>#DIV/0!</v>
      </c>
      <c r="O86" s="39" t="e">
        <f t="shared" si="1"/>
        <v>#DIV/0!</v>
      </c>
      <c r="P86" s="39" t="e">
        <f t="shared" si="1"/>
        <v>#DIV/0!</v>
      </c>
      <c r="Q86" s="39" t="e">
        <f t="shared" si="14"/>
        <v>#DIV/0!</v>
      </c>
      <c r="R86" s="39" t="e">
        <f t="shared" si="14"/>
        <v>#DIV/0!</v>
      </c>
      <c r="S86" s="39" t="e">
        <f t="shared" si="14"/>
        <v>#DIV/0!</v>
      </c>
      <c r="T86" s="39" t="e">
        <f t="shared" si="14"/>
        <v>#DIV/0!</v>
      </c>
      <c r="U86" s="39" t="e">
        <f t="shared" si="15"/>
        <v>#DIV/0!</v>
      </c>
      <c r="V86" s="39" t="e">
        <f t="shared" si="15"/>
        <v>#DIV/0!</v>
      </c>
      <c r="W86"/>
    </row>
    <row r="87" spans="1:23" ht="15.75" thickBot="1">
      <c r="A87" s="808" t="s">
        <v>1498</v>
      </c>
      <c r="B87" s="717">
        <v>1.4</v>
      </c>
      <c r="C87" s="739"/>
      <c r="D87" s="39" t="e">
        <f t="shared" si="5"/>
        <v>#DIV/0!</v>
      </c>
      <c r="E87" s="39" t="e">
        <f t="shared" si="5"/>
        <v>#DIV/0!</v>
      </c>
      <c r="F87" s="39" t="e">
        <f t="shared" si="5"/>
        <v>#DIV/0!</v>
      </c>
      <c r="G87" s="39" t="e">
        <f t="shared" si="5"/>
        <v>#DIV/0!</v>
      </c>
      <c r="H87" s="39" t="e">
        <f t="shared" ref="H87:J170" si="18">1/0</f>
        <v>#DIV/0!</v>
      </c>
      <c r="I87" s="39">
        <v>2.5</v>
      </c>
      <c r="J87" s="39" t="e">
        <f t="shared" si="16"/>
        <v>#DIV/0!</v>
      </c>
      <c r="K87" s="39" t="e">
        <f t="shared" si="16"/>
        <v>#DIV/0!</v>
      </c>
      <c r="L87" s="39" t="e">
        <f t="shared" si="16"/>
        <v>#DIV/0!</v>
      </c>
      <c r="M87" s="39" t="e">
        <f t="shared" si="16"/>
        <v>#DIV/0!</v>
      </c>
      <c r="N87" s="39" t="e">
        <f t="shared" si="16"/>
        <v>#DIV/0!</v>
      </c>
      <c r="O87" s="39" t="e">
        <f t="shared" si="1"/>
        <v>#DIV/0!</v>
      </c>
      <c r="P87" s="39" t="e">
        <f t="shared" si="1"/>
        <v>#DIV/0!</v>
      </c>
      <c r="Q87" s="39" t="e">
        <f t="shared" si="14"/>
        <v>#DIV/0!</v>
      </c>
      <c r="R87" s="39" t="e">
        <f t="shared" si="14"/>
        <v>#DIV/0!</v>
      </c>
      <c r="S87" s="39" t="e">
        <f t="shared" si="14"/>
        <v>#DIV/0!</v>
      </c>
      <c r="T87" s="39" t="e">
        <f t="shared" si="14"/>
        <v>#DIV/0!</v>
      </c>
      <c r="U87" s="39" t="e">
        <f t="shared" si="15"/>
        <v>#DIV/0!</v>
      </c>
      <c r="V87" s="39" t="e">
        <f t="shared" si="15"/>
        <v>#DIV/0!</v>
      </c>
      <c r="W87"/>
    </row>
    <row r="88" spans="1:23" ht="15.75" thickBot="1">
      <c r="A88" s="808" t="s">
        <v>1484</v>
      </c>
      <c r="B88" s="717">
        <v>1.4</v>
      </c>
      <c r="C88" s="739"/>
      <c r="D88" s="39" t="e">
        <f t="shared" si="5"/>
        <v>#DIV/0!</v>
      </c>
      <c r="E88" s="39" t="e">
        <f t="shared" si="5"/>
        <v>#DIV/0!</v>
      </c>
      <c r="F88" s="39" t="e">
        <f t="shared" si="5"/>
        <v>#DIV/0!</v>
      </c>
      <c r="G88" s="39" t="e">
        <f t="shared" si="5"/>
        <v>#DIV/0!</v>
      </c>
      <c r="H88" s="39" t="e">
        <f t="shared" si="18"/>
        <v>#DIV/0!</v>
      </c>
      <c r="I88" s="39">
        <v>3.85</v>
      </c>
      <c r="J88" s="39" t="e">
        <f t="shared" si="16"/>
        <v>#DIV/0!</v>
      </c>
      <c r="K88" s="39" t="e">
        <f t="shared" si="16"/>
        <v>#DIV/0!</v>
      </c>
      <c r="L88" s="39" t="e">
        <f t="shared" si="16"/>
        <v>#DIV/0!</v>
      </c>
      <c r="M88" s="39" t="e">
        <f t="shared" si="16"/>
        <v>#DIV/0!</v>
      </c>
      <c r="N88" s="39" t="e">
        <f t="shared" si="16"/>
        <v>#DIV/0!</v>
      </c>
      <c r="O88" s="39" t="e">
        <f t="shared" si="1"/>
        <v>#DIV/0!</v>
      </c>
      <c r="P88" s="39" t="e">
        <f t="shared" si="1"/>
        <v>#DIV/0!</v>
      </c>
      <c r="Q88" s="39" t="e">
        <f t="shared" si="14"/>
        <v>#DIV/0!</v>
      </c>
      <c r="R88" s="39" t="e">
        <f t="shared" si="14"/>
        <v>#DIV/0!</v>
      </c>
      <c r="S88" s="39" t="e">
        <f t="shared" si="14"/>
        <v>#DIV/0!</v>
      </c>
      <c r="T88" s="39" t="e">
        <f t="shared" si="14"/>
        <v>#DIV/0!</v>
      </c>
      <c r="U88" s="39" t="e">
        <f t="shared" si="15"/>
        <v>#DIV/0!</v>
      </c>
      <c r="V88" s="39" t="e">
        <f t="shared" si="15"/>
        <v>#DIV/0!</v>
      </c>
      <c r="W88"/>
    </row>
    <row r="89" spans="1:23" ht="15.75" thickBot="1">
      <c r="A89" s="808" t="s">
        <v>1496</v>
      </c>
      <c r="B89" s="717">
        <v>1.4</v>
      </c>
      <c r="C89" s="739"/>
      <c r="D89" s="39" t="e">
        <f t="shared" si="5"/>
        <v>#DIV/0!</v>
      </c>
      <c r="E89" s="39" t="e">
        <f t="shared" si="5"/>
        <v>#DIV/0!</v>
      </c>
      <c r="F89" s="39" t="e">
        <f t="shared" si="5"/>
        <v>#DIV/0!</v>
      </c>
      <c r="G89" s="39" t="e">
        <f t="shared" si="5"/>
        <v>#DIV/0!</v>
      </c>
      <c r="H89" s="39" t="e">
        <f t="shared" si="18"/>
        <v>#DIV/0!</v>
      </c>
      <c r="I89" s="39">
        <v>2.2000000000000002</v>
      </c>
      <c r="J89" s="39" t="e">
        <f t="shared" si="16"/>
        <v>#DIV/0!</v>
      </c>
      <c r="K89" s="39" t="e">
        <f t="shared" si="16"/>
        <v>#DIV/0!</v>
      </c>
      <c r="L89" s="39" t="e">
        <f t="shared" si="16"/>
        <v>#DIV/0!</v>
      </c>
      <c r="M89" s="39" t="e">
        <f t="shared" si="16"/>
        <v>#DIV/0!</v>
      </c>
      <c r="N89" s="39" t="e">
        <f t="shared" si="16"/>
        <v>#DIV/0!</v>
      </c>
      <c r="O89" s="39" t="e">
        <f t="shared" si="1"/>
        <v>#DIV/0!</v>
      </c>
      <c r="P89" s="39" t="e">
        <f t="shared" si="1"/>
        <v>#DIV/0!</v>
      </c>
      <c r="Q89" s="39" t="e">
        <f t="shared" si="14"/>
        <v>#DIV/0!</v>
      </c>
      <c r="R89" s="39" t="e">
        <f t="shared" si="14"/>
        <v>#DIV/0!</v>
      </c>
      <c r="S89" s="39" t="e">
        <f t="shared" si="14"/>
        <v>#DIV/0!</v>
      </c>
      <c r="T89" s="39" t="e">
        <f t="shared" si="14"/>
        <v>#DIV/0!</v>
      </c>
      <c r="U89" s="39" t="e">
        <f t="shared" si="15"/>
        <v>#DIV/0!</v>
      </c>
      <c r="V89" s="39" t="e">
        <f t="shared" si="15"/>
        <v>#DIV/0!</v>
      </c>
      <c r="W89"/>
    </row>
    <row r="90" spans="1:23" ht="15.75" thickBot="1">
      <c r="A90" s="808" t="s">
        <v>1503</v>
      </c>
      <c r="B90" s="717">
        <v>1.4</v>
      </c>
      <c r="C90" s="739"/>
      <c r="D90" s="39" t="e">
        <f t="shared" si="5"/>
        <v>#DIV/0!</v>
      </c>
      <c r="E90" s="39" t="e">
        <f t="shared" si="5"/>
        <v>#DIV/0!</v>
      </c>
      <c r="F90" s="39" t="e">
        <f t="shared" si="5"/>
        <v>#DIV/0!</v>
      </c>
      <c r="G90" s="39" t="e">
        <f t="shared" si="5"/>
        <v>#DIV/0!</v>
      </c>
      <c r="H90" s="39" t="e">
        <f t="shared" si="18"/>
        <v>#DIV/0!</v>
      </c>
      <c r="I90" s="39">
        <v>1.7</v>
      </c>
      <c r="J90" s="39" t="e">
        <f t="shared" si="16"/>
        <v>#DIV/0!</v>
      </c>
      <c r="K90" s="39" t="e">
        <f t="shared" si="16"/>
        <v>#DIV/0!</v>
      </c>
      <c r="L90" s="39" t="e">
        <f t="shared" si="16"/>
        <v>#DIV/0!</v>
      </c>
      <c r="M90" s="39" t="e">
        <f t="shared" si="16"/>
        <v>#DIV/0!</v>
      </c>
      <c r="N90" s="39" t="e">
        <f t="shared" si="16"/>
        <v>#DIV/0!</v>
      </c>
      <c r="O90" s="39" t="e">
        <f t="shared" ref="O90:T176" si="19">1/0</f>
        <v>#DIV/0!</v>
      </c>
      <c r="P90" s="39" t="e">
        <f t="shared" si="19"/>
        <v>#DIV/0!</v>
      </c>
      <c r="Q90" s="39" t="e">
        <f t="shared" si="14"/>
        <v>#DIV/0!</v>
      </c>
      <c r="R90" s="39" t="e">
        <f t="shared" si="14"/>
        <v>#DIV/0!</v>
      </c>
      <c r="S90" s="39" t="e">
        <f t="shared" si="14"/>
        <v>#DIV/0!</v>
      </c>
      <c r="T90" s="39" t="e">
        <f t="shared" si="14"/>
        <v>#DIV/0!</v>
      </c>
      <c r="U90" s="39" t="e">
        <f t="shared" si="15"/>
        <v>#DIV/0!</v>
      </c>
      <c r="V90" s="39" t="e">
        <f t="shared" si="15"/>
        <v>#DIV/0!</v>
      </c>
      <c r="W90"/>
    </row>
    <row r="91" spans="1:23" ht="15.75" thickBot="1">
      <c r="A91" s="808" t="s">
        <v>1504</v>
      </c>
      <c r="B91" s="717">
        <v>1.4</v>
      </c>
      <c r="C91" s="739"/>
      <c r="D91" s="39" t="e">
        <f t="shared" si="5"/>
        <v>#DIV/0!</v>
      </c>
      <c r="E91" s="39" t="e">
        <f t="shared" si="5"/>
        <v>#DIV/0!</v>
      </c>
      <c r="F91" s="39" t="e">
        <f t="shared" si="5"/>
        <v>#DIV/0!</v>
      </c>
      <c r="G91" s="39" t="e">
        <f t="shared" si="5"/>
        <v>#DIV/0!</v>
      </c>
      <c r="H91" s="39" t="e">
        <f t="shared" si="18"/>
        <v>#DIV/0!</v>
      </c>
      <c r="I91" s="39">
        <v>1.7</v>
      </c>
      <c r="J91" s="39" t="e">
        <f t="shared" si="16"/>
        <v>#DIV/0!</v>
      </c>
      <c r="K91" s="39" t="e">
        <f t="shared" si="16"/>
        <v>#DIV/0!</v>
      </c>
      <c r="L91" s="39" t="e">
        <f t="shared" si="16"/>
        <v>#DIV/0!</v>
      </c>
      <c r="M91" s="39" t="e">
        <f t="shared" si="16"/>
        <v>#DIV/0!</v>
      </c>
      <c r="N91" s="39" t="e">
        <f t="shared" si="16"/>
        <v>#DIV/0!</v>
      </c>
      <c r="O91" s="39" t="e">
        <f t="shared" si="19"/>
        <v>#DIV/0!</v>
      </c>
      <c r="P91" s="39" t="e">
        <f t="shared" si="19"/>
        <v>#DIV/0!</v>
      </c>
      <c r="Q91" s="39" t="e">
        <f t="shared" si="14"/>
        <v>#DIV/0!</v>
      </c>
      <c r="R91" s="39" t="e">
        <f t="shared" si="14"/>
        <v>#DIV/0!</v>
      </c>
      <c r="S91" s="39" t="e">
        <f t="shared" si="14"/>
        <v>#DIV/0!</v>
      </c>
      <c r="T91" s="39" t="e">
        <f t="shared" si="14"/>
        <v>#DIV/0!</v>
      </c>
      <c r="U91" s="39" t="e">
        <f t="shared" si="15"/>
        <v>#DIV/0!</v>
      </c>
      <c r="V91" s="39" t="e">
        <f t="shared" si="15"/>
        <v>#DIV/0!</v>
      </c>
      <c r="W91"/>
    </row>
    <row r="92" spans="1:23" ht="15.75" thickBot="1">
      <c r="A92" s="808" t="s">
        <v>1499</v>
      </c>
      <c r="B92" s="717">
        <v>1.4</v>
      </c>
      <c r="C92" s="739"/>
      <c r="D92" s="39" t="e">
        <f t="shared" si="5"/>
        <v>#DIV/0!</v>
      </c>
      <c r="E92" s="39" t="e">
        <f t="shared" si="5"/>
        <v>#DIV/0!</v>
      </c>
      <c r="F92" s="39" t="e">
        <f t="shared" si="5"/>
        <v>#DIV/0!</v>
      </c>
      <c r="G92" s="39" t="e">
        <f t="shared" si="5"/>
        <v>#DIV/0!</v>
      </c>
      <c r="H92" s="39" t="e">
        <f t="shared" si="18"/>
        <v>#DIV/0!</v>
      </c>
      <c r="I92" s="39">
        <v>2.5</v>
      </c>
      <c r="J92" s="39" t="e">
        <f t="shared" si="16"/>
        <v>#DIV/0!</v>
      </c>
      <c r="K92" s="39" t="e">
        <f t="shared" si="16"/>
        <v>#DIV/0!</v>
      </c>
      <c r="L92" s="39" t="e">
        <f t="shared" si="16"/>
        <v>#DIV/0!</v>
      </c>
      <c r="M92" s="39" t="e">
        <f t="shared" si="16"/>
        <v>#DIV/0!</v>
      </c>
      <c r="N92" s="39" t="e">
        <f t="shared" si="16"/>
        <v>#DIV/0!</v>
      </c>
      <c r="O92" s="39" t="e">
        <f t="shared" si="19"/>
        <v>#DIV/0!</v>
      </c>
      <c r="P92" s="39" t="e">
        <f t="shared" si="19"/>
        <v>#DIV/0!</v>
      </c>
      <c r="Q92" s="39" t="e">
        <f t="shared" si="14"/>
        <v>#DIV/0!</v>
      </c>
      <c r="R92" s="39" t="e">
        <f t="shared" si="14"/>
        <v>#DIV/0!</v>
      </c>
      <c r="S92" s="39" t="e">
        <f t="shared" si="14"/>
        <v>#DIV/0!</v>
      </c>
      <c r="T92" s="39" t="e">
        <f t="shared" si="14"/>
        <v>#DIV/0!</v>
      </c>
      <c r="U92" s="39" t="e">
        <f t="shared" si="15"/>
        <v>#DIV/0!</v>
      </c>
      <c r="V92" s="39" t="e">
        <f t="shared" si="15"/>
        <v>#DIV/0!</v>
      </c>
      <c r="W92"/>
    </row>
    <row r="93" spans="1:23" ht="15.75" thickBot="1">
      <c r="A93" s="808" t="s">
        <v>1500</v>
      </c>
      <c r="B93" s="717">
        <v>1.4</v>
      </c>
      <c r="C93" s="739"/>
      <c r="D93" s="39" t="e">
        <f t="shared" si="5"/>
        <v>#DIV/0!</v>
      </c>
      <c r="E93" s="39" t="e">
        <f t="shared" si="5"/>
        <v>#DIV/0!</v>
      </c>
      <c r="F93" s="39" t="e">
        <f t="shared" si="5"/>
        <v>#DIV/0!</v>
      </c>
      <c r="G93" s="39" t="e">
        <f t="shared" si="5"/>
        <v>#DIV/0!</v>
      </c>
      <c r="H93" s="39" t="e">
        <f t="shared" si="18"/>
        <v>#DIV/0!</v>
      </c>
      <c r="I93" s="39">
        <v>2.5</v>
      </c>
      <c r="J93" s="39" t="e">
        <f t="shared" si="16"/>
        <v>#DIV/0!</v>
      </c>
      <c r="K93" s="39" t="e">
        <f t="shared" si="16"/>
        <v>#DIV/0!</v>
      </c>
      <c r="L93" s="39" t="e">
        <f t="shared" si="16"/>
        <v>#DIV/0!</v>
      </c>
      <c r="M93" s="39" t="e">
        <f t="shared" si="16"/>
        <v>#DIV/0!</v>
      </c>
      <c r="N93" s="39" t="e">
        <f t="shared" si="16"/>
        <v>#DIV/0!</v>
      </c>
      <c r="O93" s="39" t="e">
        <f t="shared" si="19"/>
        <v>#DIV/0!</v>
      </c>
      <c r="P93" s="39" t="e">
        <f t="shared" si="19"/>
        <v>#DIV/0!</v>
      </c>
      <c r="Q93" s="39" t="e">
        <f t="shared" si="14"/>
        <v>#DIV/0!</v>
      </c>
      <c r="R93" s="39" t="e">
        <f t="shared" si="14"/>
        <v>#DIV/0!</v>
      </c>
      <c r="S93" s="39" t="e">
        <f t="shared" si="14"/>
        <v>#DIV/0!</v>
      </c>
      <c r="T93" s="39" t="e">
        <f t="shared" si="14"/>
        <v>#DIV/0!</v>
      </c>
      <c r="U93" s="39" t="e">
        <f t="shared" si="15"/>
        <v>#DIV/0!</v>
      </c>
      <c r="V93" s="39" t="e">
        <f t="shared" si="15"/>
        <v>#DIV/0!</v>
      </c>
      <c r="W93"/>
    </row>
    <row r="94" spans="1:23" ht="15.75" thickBot="1">
      <c r="A94" s="808" t="s">
        <v>1501</v>
      </c>
      <c r="B94" s="717">
        <v>1.4</v>
      </c>
      <c r="C94" s="739"/>
      <c r="D94" s="39" t="e">
        <f t="shared" si="5"/>
        <v>#DIV/0!</v>
      </c>
      <c r="E94" s="39" t="e">
        <f t="shared" si="5"/>
        <v>#DIV/0!</v>
      </c>
      <c r="F94" s="39" t="e">
        <f t="shared" si="5"/>
        <v>#DIV/0!</v>
      </c>
      <c r="G94" s="39" t="e">
        <f t="shared" si="5"/>
        <v>#DIV/0!</v>
      </c>
      <c r="H94" s="39" t="e">
        <f t="shared" si="18"/>
        <v>#DIV/0!</v>
      </c>
      <c r="I94" s="39">
        <v>2.5</v>
      </c>
      <c r="J94" s="39" t="e">
        <f t="shared" si="16"/>
        <v>#DIV/0!</v>
      </c>
      <c r="K94" s="39" t="e">
        <f t="shared" si="16"/>
        <v>#DIV/0!</v>
      </c>
      <c r="L94" s="39" t="e">
        <f t="shared" si="16"/>
        <v>#DIV/0!</v>
      </c>
      <c r="M94" s="39" t="e">
        <f t="shared" si="16"/>
        <v>#DIV/0!</v>
      </c>
      <c r="N94" s="39" t="e">
        <f t="shared" si="16"/>
        <v>#DIV/0!</v>
      </c>
      <c r="O94" s="39" t="e">
        <f t="shared" si="19"/>
        <v>#DIV/0!</v>
      </c>
      <c r="P94" s="39" t="e">
        <f t="shared" si="19"/>
        <v>#DIV/0!</v>
      </c>
      <c r="Q94" s="39" t="e">
        <f t="shared" si="14"/>
        <v>#DIV/0!</v>
      </c>
      <c r="R94" s="39" t="e">
        <f t="shared" si="14"/>
        <v>#DIV/0!</v>
      </c>
      <c r="S94" s="39" t="e">
        <f t="shared" si="14"/>
        <v>#DIV/0!</v>
      </c>
      <c r="T94" s="39" t="e">
        <f t="shared" si="14"/>
        <v>#DIV/0!</v>
      </c>
      <c r="U94" s="39" t="e">
        <f t="shared" si="15"/>
        <v>#DIV/0!</v>
      </c>
      <c r="V94" s="39" t="e">
        <f t="shared" si="15"/>
        <v>#DIV/0!</v>
      </c>
      <c r="W94"/>
    </row>
    <row r="95" spans="1:23" s="39" customFormat="1" ht="15.75" thickBot="1">
      <c r="A95" s="808" t="s">
        <v>1502</v>
      </c>
      <c r="B95" s="717">
        <v>1.4</v>
      </c>
      <c r="C95" s="739"/>
      <c r="D95" s="39" t="e">
        <f t="shared" si="5"/>
        <v>#DIV/0!</v>
      </c>
      <c r="E95" s="39" t="e">
        <f t="shared" si="5"/>
        <v>#DIV/0!</v>
      </c>
      <c r="F95" s="39" t="e">
        <f t="shared" si="5"/>
        <v>#DIV/0!</v>
      </c>
      <c r="G95" s="39" t="e">
        <f t="shared" si="5"/>
        <v>#DIV/0!</v>
      </c>
      <c r="H95" s="39" t="e">
        <f t="shared" si="18"/>
        <v>#DIV/0!</v>
      </c>
      <c r="I95" s="39">
        <v>2.5</v>
      </c>
      <c r="J95" s="39" t="e">
        <f t="shared" si="16"/>
        <v>#DIV/0!</v>
      </c>
      <c r="K95" s="39" t="e">
        <f t="shared" si="16"/>
        <v>#DIV/0!</v>
      </c>
      <c r="L95" s="39" t="e">
        <f t="shared" si="16"/>
        <v>#DIV/0!</v>
      </c>
      <c r="M95" s="39" t="e">
        <f t="shared" si="16"/>
        <v>#DIV/0!</v>
      </c>
      <c r="N95" s="39" t="e">
        <f t="shared" si="16"/>
        <v>#DIV/0!</v>
      </c>
      <c r="O95" s="39" t="e">
        <f t="shared" si="19"/>
        <v>#DIV/0!</v>
      </c>
      <c r="P95" s="39" t="e">
        <f t="shared" si="19"/>
        <v>#DIV/0!</v>
      </c>
      <c r="Q95" s="39" t="e">
        <f t="shared" si="14"/>
        <v>#DIV/0!</v>
      </c>
      <c r="R95" s="39" t="e">
        <f t="shared" si="14"/>
        <v>#DIV/0!</v>
      </c>
      <c r="S95" s="39" t="e">
        <f t="shared" si="14"/>
        <v>#DIV/0!</v>
      </c>
      <c r="T95" s="39" t="e">
        <f t="shared" si="14"/>
        <v>#DIV/0!</v>
      </c>
      <c r="U95" s="39" t="e">
        <f t="shared" si="15"/>
        <v>#DIV/0!</v>
      </c>
      <c r="V95" s="39" t="e">
        <f t="shared" si="15"/>
        <v>#DIV/0!</v>
      </c>
    </row>
    <row r="96" spans="1:23" s="39" customFormat="1" ht="27.75" thickBot="1">
      <c r="A96" s="813" t="s">
        <v>1487</v>
      </c>
      <c r="B96" s="717">
        <v>1.4</v>
      </c>
      <c r="C96" s="739"/>
      <c r="D96" s="39" t="e">
        <f t="shared" ref="D96:G107" si="20">1/0</f>
        <v>#DIV/0!</v>
      </c>
      <c r="E96" s="39" t="e">
        <f t="shared" si="20"/>
        <v>#DIV/0!</v>
      </c>
      <c r="F96" s="39" t="e">
        <f t="shared" si="20"/>
        <v>#DIV/0!</v>
      </c>
      <c r="G96" s="39" t="e">
        <f t="shared" si="20"/>
        <v>#DIV/0!</v>
      </c>
      <c r="H96" s="39" t="e">
        <f t="shared" si="18"/>
        <v>#DIV/0!</v>
      </c>
      <c r="I96" s="39">
        <v>3.85</v>
      </c>
      <c r="J96" s="39" t="e">
        <f t="shared" si="16"/>
        <v>#DIV/0!</v>
      </c>
      <c r="K96" s="39" t="e">
        <f t="shared" si="16"/>
        <v>#DIV/0!</v>
      </c>
      <c r="L96" s="39" t="e">
        <f t="shared" si="16"/>
        <v>#DIV/0!</v>
      </c>
      <c r="M96" s="39" t="e">
        <f t="shared" si="16"/>
        <v>#DIV/0!</v>
      </c>
      <c r="N96" s="39" t="e">
        <f t="shared" si="16"/>
        <v>#DIV/0!</v>
      </c>
      <c r="O96" s="39" t="e">
        <f t="shared" si="19"/>
        <v>#DIV/0!</v>
      </c>
      <c r="P96" s="39" t="e">
        <f t="shared" si="19"/>
        <v>#DIV/0!</v>
      </c>
      <c r="Q96" s="39" t="e">
        <f t="shared" si="19"/>
        <v>#DIV/0!</v>
      </c>
      <c r="R96" s="39" t="e">
        <f t="shared" si="19"/>
        <v>#DIV/0!</v>
      </c>
      <c r="S96" s="39" t="e">
        <f t="shared" si="19"/>
        <v>#DIV/0!</v>
      </c>
      <c r="T96" s="39" t="e">
        <f t="shared" si="19"/>
        <v>#DIV/0!</v>
      </c>
      <c r="U96" s="39" t="e">
        <f t="shared" si="15"/>
        <v>#DIV/0!</v>
      </c>
      <c r="V96" s="39" t="e">
        <f t="shared" si="15"/>
        <v>#DIV/0!</v>
      </c>
    </row>
    <row r="97" spans="1:22" s="39" customFormat="1" ht="27.75" thickBot="1">
      <c r="A97" s="813" t="s">
        <v>1488</v>
      </c>
      <c r="B97" s="717">
        <v>1.4</v>
      </c>
      <c r="C97" s="739"/>
      <c r="D97" s="39" t="e">
        <f t="shared" si="20"/>
        <v>#DIV/0!</v>
      </c>
      <c r="E97" s="39" t="e">
        <f t="shared" si="20"/>
        <v>#DIV/0!</v>
      </c>
      <c r="F97" s="39" t="e">
        <f t="shared" si="20"/>
        <v>#DIV/0!</v>
      </c>
      <c r="G97" s="39" t="e">
        <f t="shared" si="20"/>
        <v>#DIV/0!</v>
      </c>
      <c r="H97" s="39" t="e">
        <f t="shared" si="18"/>
        <v>#DIV/0!</v>
      </c>
      <c r="I97" s="39">
        <v>3.85</v>
      </c>
      <c r="J97" s="39" t="e">
        <f t="shared" ref="J97:N107" si="21">1/0</f>
        <v>#DIV/0!</v>
      </c>
      <c r="K97" s="39" t="e">
        <f t="shared" si="21"/>
        <v>#DIV/0!</v>
      </c>
      <c r="L97" s="39" t="e">
        <f t="shared" si="21"/>
        <v>#DIV/0!</v>
      </c>
      <c r="M97" s="39" t="e">
        <f t="shared" si="21"/>
        <v>#DIV/0!</v>
      </c>
      <c r="N97" s="39" t="e">
        <f t="shared" si="21"/>
        <v>#DIV/0!</v>
      </c>
      <c r="O97" s="39" t="e">
        <f t="shared" si="19"/>
        <v>#DIV/0!</v>
      </c>
      <c r="P97" s="39" t="e">
        <f t="shared" si="19"/>
        <v>#DIV/0!</v>
      </c>
      <c r="Q97" s="39" t="e">
        <f t="shared" si="19"/>
        <v>#DIV/0!</v>
      </c>
      <c r="R97" s="39" t="e">
        <f t="shared" si="19"/>
        <v>#DIV/0!</v>
      </c>
      <c r="S97" s="39" t="e">
        <f t="shared" si="19"/>
        <v>#DIV/0!</v>
      </c>
      <c r="T97" s="39" t="e">
        <f t="shared" si="19"/>
        <v>#DIV/0!</v>
      </c>
      <c r="U97" s="39" t="e">
        <f t="shared" si="15"/>
        <v>#DIV/0!</v>
      </c>
      <c r="V97" s="39" t="e">
        <f t="shared" si="15"/>
        <v>#DIV/0!</v>
      </c>
    </row>
    <row r="98" spans="1:22" s="39" customFormat="1" ht="27.75" thickBot="1">
      <c r="A98" s="813" t="s">
        <v>1489</v>
      </c>
      <c r="B98" s="717">
        <v>1.4</v>
      </c>
      <c r="C98" s="739"/>
      <c r="D98" s="39" t="e">
        <f t="shared" si="20"/>
        <v>#DIV/0!</v>
      </c>
      <c r="E98" s="39" t="e">
        <f t="shared" si="20"/>
        <v>#DIV/0!</v>
      </c>
      <c r="F98" s="39" t="e">
        <f t="shared" si="20"/>
        <v>#DIV/0!</v>
      </c>
      <c r="G98" s="39" t="e">
        <f t="shared" si="20"/>
        <v>#DIV/0!</v>
      </c>
      <c r="H98" s="39" t="e">
        <f t="shared" si="18"/>
        <v>#DIV/0!</v>
      </c>
      <c r="I98" s="39">
        <v>3.85</v>
      </c>
      <c r="J98" s="39" t="e">
        <f t="shared" si="21"/>
        <v>#DIV/0!</v>
      </c>
      <c r="K98" s="39" t="e">
        <f t="shared" si="21"/>
        <v>#DIV/0!</v>
      </c>
      <c r="L98" s="39" t="e">
        <f t="shared" si="21"/>
        <v>#DIV/0!</v>
      </c>
      <c r="M98" s="39" t="e">
        <f t="shared" si="21"/>
        <v>#DIV/0!</v>
      </c>
      <c r="N98" s="39" t="e">
        <f t="shared" si="21"/>
        <v>#DIV/0!</v>
      </c>
      <c r="O98" s="39" t="e">
        <f t="shared" si="19"/>
        <v>#DIV/0!</v>
      </c>
      <c r="P98" s="39" t="e">
        <f t="shared" si="19"/>
        <v>#DIV/0!</v>
      </c>
      <c r="Q98" s="39" t="e">
        <f t="shared" si="19"/>
        <v>#DIV/0!</v>
      </c>
      <c r="R98" s="39" t="e">
        <f t="shared" si="19"/>
        <v>#DIV/0!</v>
      </c>
      <c r="S98" s="39" t="e">
        <f t="shared" si="19"/>
        <v>#DIV/0!</v>
      </c>
      <c r="T98" s="39" t="e">
        <f t="shared" si="19"/>
        <v>#DIV/0!</v>
      </c>
      <c r="U98" s="39" t="e">
        <f t="shared" si="15"/>
        <v>#DIV/0!</v>
      </c>
      <c r="V98" s="39" t="e">
        <f t="shared" si="15"/>
        <v>#DIV/0!</v>
      </c>
    </row>
    <row r="99" spans="1:22" s="39" customFormat="1" ht="27.75" thickBot="1">
      <c r="A99" s="813" t="s">
        <v>1485</v>
      </c>
      <c r="B99" s="717">
        <v>1.4</v>
      </c>
      <c r="C99" s="739"/>
      <c r="D99" s="39" t="e">
        <f t="shared" si="20"/>
        <v>#DIV/0!</v>
      </c>
      <c r="E99" s="39" t="e">
        <f t="shared" si="20"/>
        <v>#DIV/0!</v>
      </c>
      <c r="F99" s="39" t="e">
        <f t="shared" si="20"/>
        <v>#DIV/0!</v>
      </c>
      <c r="G99" s="39" t="e">
        <f t="shared" si="20"/>
        <v>#DIV/0!</v>
      </c>
      <c r="H99" s="39" t="e">
        <f t="shared" si="18"/>
        <v>#DIV/0!</v>
      </c>
      <c r="I99" s="39">
        <v>3.85</v>
      </c>
      <c r="J99" s="39" t="e">
        <f t="shared" si="16"/>
        <v>#DIV/0!</v>
      </c>
      <c r="K99" s="39" t="e">
        <f t="shared" si="16"/>
        <v>#DIV/0!</v>
      </c>
      <c r="L99" s="39" t="e">
        <f t="shared" si="16"/>
        <v>#DIV/0!</v>
      </c>
      <c r="M99" s="39" t="e">
        <f t="shared" si="16"/>
        <v>#DIV/0!</v>
      </c>
      <c r="N99" s="39" t="e">
        <f t="shared" si="16"/>
        <v>#DIV/0!</v>
      </c>
      <c r="O99" s="39" t="e">
        <f t="shared" si="19"/>
        <v>#DIV/0!</v>
      </c>
      <c r="P99" s="39" t="e">
        <f t="shared" si="19"/>
        <v>#DIV/0!</v>
      </c>
      <c r="Q99" s="39" t="e">
        <f t="shared" si="19"/>
        <v>#DIV/0!</v>
      </c>
      <c r="R99" s="39" t="e">
        <f t="shared" si="19"/>
        <v>#DIV/0!</v>
      </c>
      <c r="S99" s="39" t="e">
        <f t="shared" si="19"/>
        <v>#DIV/0!</v>
      </c>
      <c r="T99" s="39" t="e">
        <f t="shared" si="19"/>
        <v>#DIV/0!</v>
      </c>
      <c r="U99" s="39" t="e">
        <f t="shared" si="15"/>
        <v>#DIV/0!</v>
      </c>
      <c r="V99" s="39" t="e">
        <f t="shared" si="15"/>
        <v>#DIV/0!</v>
      </c>
    </row>
    <row r="100" spans="1:22" s="39" customFormat="1" ht="27.75" thickBot="1">
      <c r="A100" s="813" t="s">
        <v>1486</v>
      </c>
      <c r="B100" s="717">
        <v>1.4</v>
      </c>
      <c r="C100" s="739"/>
      <c r="D100" s="39" t="e">
        <f t="shared" si="20"/>
        <v>#DIV/0!</v>
      </c>
      <c r="E100" s="39" t="e">
        <f t="shared" si="20"/>
        <v>#DIV/0!</v>
      </c>
      <c r="F100" s="39" t="e">
        <f t="shared" si="20"/>
        <v>#DIV/0!</v>
      </c>
      <c r="G100" s="39" t="e">
        <f t="shared" si="20"/>
        <v>#DIV/0!</v>
      </c>
      <c r="H100" s="39" t="e">
        <f t="shared" si="18"/>
        <v>#DIV/0!</v>
      </c>
      <c r="I100" s="39">
        <v>3.85</v>
      </c>
      <c r="J100" s="39" t="e">
        <f t="shared" si="16"/>
        <v>#DIV/0!</v>
      </c>
      <c r="K100" s="39" t="e">
        <f t="shared" si="16"/>
        <v>#DIV/0!</v>
      </c>
      <c r="L100" s="39" t="e">
        <f t="shared" si="16"/>
        <v>#DIV/0!</v>
      </c>
      <c r="M100" s="39" t="e">
        <f t="shared" si="16"/>
        <v>#DIV/0!</v>
      </c>
      <c r="N100" s="39" t="e">
        <f t="shared" si="16"/>
        <v>#DIV/0!</v>
      </c>
      <c r="O100" s="39" t="e">
        <f t="shared" si="19"/>
        <v>#DIV/0!</v>
      </c>
      <c r="P100" s="39" t="e">
        <f t="shared" si="19"/>
        <v>#DIV/0!</v>
      </c>
      <c r="Q100" s="39" t="e">
        <f t="shared" si="19"/>
        <v>#DIV/0!</v>
      </c>
      <c r="R100" s="39" t="e">
        <f t="shared" si="19"/>
        <v>#DIV/0!</v>
      </c>
      <c r="S100" s="39" t="e">
        <f t="shared" si="19"/>
        <v>#DIV/0!</v>
      </c>
      <c r="T100" s="39" t="e">
        <f t="shared" si="19"/>
        <v>#DIV/0!</v>
      </c>
      <c r="U100" s="39" t="e">
        <f t="shared" si="15"/>
        <v>#DIV/0!</v>
      </c>
      <c r="V100" s="39" t="e">
        <f t="shared" si="15"/>
        <v>#DIV/0!</v>
      </c>
    </row>
    <row r="101" spans="1:22" s="39" customFormat="1" ht="27.75" thickBot="1">
      <c r="A101" s="813" t="s">
        <v>1649</v>
      </c>
      <c r="B101" s="717">
        <v>1.4</v>
      </c>
      <c r="C101" s="739"/>
      <c r="D101" s="39" t="e">
        <f t="shared" si="20"/>
        <v>#DIV/0!</v>
      </c>
      <c r="E101" s="39" t="e">
        <f t="shared" si="20"/>
        <v>#DIV/0!</v>
      </c>
      <c r="F101" s="39" t="e">
        <f t="shared" si="20"/>
        <v>#DIV/0!</v>
      </c>
      <c r="G101" s="39" t="e">
        <f t="shared" si="20"/>
        <v>#DIV/0!</v>
      </c>
      <c r="H101" s="39" t="e">
        <f t="shared" si="18"/>
        <v>#DIV/0!</v>
      </c>
      <c r="I101" s="39">
        <v>3.85</v>
      </c>
      <c r="J101" s="39" t="e">
        <f t="shared" si="16"/>
        <v>#DIV/0!</v>
      </c>
      <c r="K101" s="39" t="e">
        <f t="shared" si="16"/>
        <v>#DIV/0!</v>
      </c>
      <c r="L101" s="39" t="e">
        <f t="shared" si="16"/>
        <v>#DIV/0!</v>
      </c>
      <c r="M101" s="39" t="e">
        <f t="shared" si="16"/>
        <v>#DIV/0!</v>
      </c>
      <c r="N101" s="39" t="e">
        <f t="shared" si="16"/>
        <v>#DIV/0!</v>
      </c>
      <c r="O101" s="39" t="e">
        <f t="shared" si="19"/>
        <v>#DIV/0!</v>
      </c>
      <c r="P101" s="39" t="e">
        <f t="shared" si="19"/>
        <v>#DIV/0!</v>
      </c>
      <c r="Q101" s="39" t="e">
        <f t="shared" si="19"/>
        <v>#DIV/0!</v>
      </c>
      <c r="R101" s="39" t="e">
        <f t="shared" si="19"/>
        <v>#DIV/0!</v>
      </c>
      <c r="S101" s="39" t="e">
        <f t="shared" si="19"/>
        <v>#DIV/0!</v>
      </c>
      <c r="T101" s="39" t="e">
        <f t="shared" si="19"/>
        <v>#DIV/0!</v>
      </c>
      <c r="U101" s="39" t="e">
        <f t="shared" si="15"/>
        <v>#DIV/0!</v>
      </c>
      <c r="V101" s="39" t="e">
        <f t="shared" si="15"/>
        <v>#DIV/0!</v>
      </c>
    </row>
    <row r="102" spans="1:22" s="39" customFormat="1" ht="27.75" thickBot="1">
      <c r="A102" s="813" t="s">
        <v>1490</v>
      </c>
      <c r="B102" s="717">
        <v>1.4</v>
      </c>
      <c r="C102" s="739"/>
      <c r="D102" s="39" t="e">
        <f t="shared" si="20"/>
        <v>#DIV/0!</v>
      </c>
      <c r="E102" s="39" t="e">
        <f t="shared" si="20"/>
        <v>#DIV/0!</v>
      </c>
      <c r="F102" s="39" t="e">
        <f t="shared" si="20"/>
        <v>#DIV/0!</v>
      </c>
      <c r="G102" s="39" t="e">
        <f t="shared" si="20"/>
        <v>#DIV/0!</v>
      </c>
      <c r="H102" s="39" t="e">
        <f t="shared" si="18"/>
        <v>#DIV/0!</v>
      </c>
      <c r="I102" s="39">
        <v>3.85</v>
      </c>
      <c r="J102" s="39" t="e">
        <f t="shared" si="21"/>
        <v>#DIV/0!</v>
      </c>
      <c r="K102" s="39" t="e">
        <f t="shared" si="21"/>
        <v>#DIV/0!</v>
      </c>
      <c r="L102" s="39" t="e">
        <f t="shared" si="21"/>
        <v>#DIV/0!</v>
      </c>
      <c r="M102" s="39" t="e">
        <f t="shared" si="21"/>
        <v>#DIV/0!</v>
      </c>
      <c r="N102" s="39" t="e">
        <f t="shared" si="21"/>
        <v>#DIV/0!</v>
      </c>
      <c r="O102" s="39" t="e">
        <f t="shared" si="19"/>
        <v>#DIV/0!</v>
      </c>
      <c r="P102" s="39" t="e">
        <f t="shared" si="19"/>
        <v>#DIV/0!</v>
      </c>
      <c r="Q102" s="39" t="e">
        <f t="shared" si="19"/>
        <v>#DIV/0!</v>
      </c>
      <c r="R102" s="39" t="e">
        <f t="shared" si="19"/>
        <v>#DIV/0!</v>
      </c>
      <c r="S102" s="39" t="e">
        <f t="shared" si="19"/>
        <v>#DIV/0!</v>
      </c>
      <c r="T102" s="39" t="e">
        <f t="shared" si="19"/>
        <v>#DIV/0!</v>
      </c>
      <c r="U102" s="39" t="e">
        <f t="shared" si="15"/>
        <v>#DIV/0!</v>
      </c>
      <c r="V102" s="39" t="e">
        <f t="shared" si="15"/>
        <v>#DIV/0!</v>
      </c>
    </row>
    <row r="103" spans="1:22" s="39" customFormat="1" ht="27.75" thickBot="1">
      <c r="A103" s="813" t="s">
        <v>1491</v>
      </c>
      <c r="B103" s="717">
        <v>1.4</v>
      </c>
      <c r="C103" s="739"/>
      <c r="D103" s="39" t="e">
        <f t="shared" si="20"/>
        <v>#DIV/0!</v>
      </c>
      <c r="E103" s="39" t="e">
        <f t="shared" si="20"/>
        <v>#DIV/0!</v>
      </c>
      <c r="F103" s="39" t="e">
        <f t="shared" si="20"/>
        <v>#DIV/0!</v>
      </c>
      <c r="G103" s="39" t="e">
        <f t="shared" si="20"/>
        <v>#DIV/0!</v>
      </c>
      <c r="H103" s="39" t="e">
        <f t="shared" si="18"/>
        <v>#DIV/0!</v>
      </c>
      <c r="I103" s="39">
        <v>3.85</v>
      </c>
      <c r="J103" s="39" t="e">
        <f t="shared" si="21"/>
        <v>#DIV/0!</v>
      </c>
      <c r="K103" s="39" t="e">
        <f t="shared" si="21"/>
        <v>#DIV/0!</v>
      </c>
      <c r="L103" s="39" t="e">
        <f t="shared" si="21"/>
        <v>#DIV/0!</v>
      </c>
      <c r="M103" s="39" t="e">
        <f t="shared" si="21"/>
        <v>#DIV/0!</v>
      </c>
      <c r="N103" s="39" t="e">
        <f t="shared" si="21"/>
        <v>#DIV/0!</v>
      </c>
      <c r="O103" s="39" t="e">
        <f t="shared" si="19"/>
        <v>#DIV/0!</v>
      </c>
      <c r="P103" s="39" t="e">
        <f t="shared" si="19"/>
        <v>#DIV/0!</v>
      </c>
      <c r="Q103" s="39" t="e">
        <f t="shared" si="19"/>
        <v>#DIV/0!</v>
      </c>
      <c r="R103" s="39" t="e">
        <f t="shared" si="19"/>
        <v>#DIV/0!</v>
      </c>
      <c r="S103" s="39" t="e">
        <f t="shared" si="19"/>
        <v>#DIV/0!</v>
      </c>
      <c r="T103" s="39" t="e">
        <f t="shared" si="19"/>
        <v>#DIV/0!</v>
      </c>
      <c r="U103" s="39" t="e">
        <f t="shared" si="15"/>
        <v>#DIV/0!</v>
      </c>
      <c r="V103" s="39" t="e">
        <f t="shared" si="15"/>
        <v>#DIV/0!</v>
      </c>
    </row>
    <row r="104" spans="1:22" s="39" customFormat="1" ht="27.75" thickBot="1">
      <c r="A104" s="813" t="s">
        <v>1492</v>
      </c>
      <c r="B104" s="717">
        <v>1.4</v>
      </c>
      <c r="C104" s="739"/>
      <c r="D104" s="39" t="e">
        <f t="shared" si="20"/>
        <v>#DIV/0!</v>
      </c>
      <c r="E104" s="39" t="e">
        <f t="shared" si="20"/>
        <v>#DIV/0!</v>
      </c>
      <c r="F104" s="39" t="e">
        <f t="shared" si="20"/>
        <v>#DIV/0!</v>
      </c>
      <c r="G104" s="39" t="e">
        <f t="shared" si="20"/>
        <v>#DIV/0!</v>
      </c>
      <c r="H104" s="39" t="e">
        <f t="shared" si="18"/>
        <v>#DIV/0!</v>
      </c>
      <c r="I104" s="39">
        <v>3.85</v>
      </c>
      <c r="J104" s="39" t="e">
        <f t="shared" si="21"/>
        <v>#DIV/0!</v>
      </c>
      <c r="K104" s="39" t="e">
        <f t="shared" si="21"/>
        <v>#DIV/0!</v>
      </c>
      <c r="L104" s="39" t="e">
        <f t="shared" si="21"/>
        <v>#DIV/0!</v>
      </c>
      <c r="M104" s="39" t="e">
        <f t="shared" si="21"/>
        <v>#DIV/0!</v>
      </c>
      <c r="N104" s="39" t="e">
        <f t="shared" si="21"/>
        <v>#DIV/0!</v>
      </c>
      <c r="O104" s="39" t="e">
        <f t="shared" si="19"/>
        <v>#DIV/0!</v>
      </c>
      <c r="P104" s="39" t="e">
        <f t="shared" si="19"/>
        <v>#DIV/0!</v>
      </c>
      <c r="Q104" s="39" t="e">
        <f t="shared" si="19"/>
        <v>#DIV/0!</v>
      </c>
      <c r="R104" s="39" t="e">
        <f t="shared" si="19"/>
        <v>#DIV/0!</v>
      </c>
      <c r="S104" s="39" t="e">
        <f t="shared" si="19"/>
        <v>#DIV/0!</v>
      </c>
      <c r="T104" s="39" t="e">
        <f t="shared" si="19"/>
        <v>#DIV/0!</v>
      </c>
      <c r="U104" s="39" t="e">
        <f t="shared" si="15"/>
        <v>#DIV/0!</v>
      </c>
      <c r="V104" s="39" t="e">
        <f t="shared" si="15"/>
        <v>#DIV/0!</v>
      </c>
    </row>
    <row r="105" spans="1:22" s="39" customFormat="1" ht="15.75" thickBot="1">
      <c r="A105" s="808" t="s">
        <v>1646</v>
      </c>
      <c r="B105" s="717">
        <v>1.4</v>
      </c>
      <c r="C105" s="739"/>
      <c r="D105" s="39" t="e">
        <f t="shared" si="20"/>
        <v>#DIV/0!</v>
      </c>
      <c r="E105" s="39" t="e">
        <f t="shared" si="20"/>
        <v>#DIV/0!</v>
      </c>
      <c r="F105" s="808" t="e">
        <f t="shared" si="20"/>
        <v>#DIV/0!</v>
      </c>
      <c r="G105" s="39" t="e">
        <f t="shared" si="20"/>
        <v>#DIV/0!</v>
      </c>
      <c r="H105" s="39" t="e">
        <f t="shared" si="18"/>
        <v>#DIV/0!</v>
      </c>
      <c r="I105" s="39">
        <v>2.5</v>
      </c>
      <c r="J105" s="39" t="e">
        <f t="shared" si="21"/>
        <v>#DIV/0!</v>
      </c>
      <c r="K105" s="39" t="e">
        <f t="shared" si="21"/>
        <v>#DIV/0!</v>
      </c>
      <c r="L105" s="39" t="e">
        <f t="shared" si="21"/>
        <v>#DIV/0!</v>
      </c>
      <c r="M105" s="39" t="e">
        <f t="shared" si="21"/>
        <v>#DIV/0!</v>
      </c>
      <c r="N105" s="39" t="e">
        <f t="shared" si="21"/>
        <v>#DIV/0!</v>
      </c>
      <c r="O105" s="39" t="e">
        <f t="shared" si="19"/>
        <v>#DIV/0!</v>
      </c>
      <c r="P105" s="39" t="e">
        <f t="shared" si="19"/>
        <v>#DIV/0!</v>
      </c>
      <c r="Q105" s="39" t="e">
        <f t="shared" si="19"/>
        <v>#DIV/0!</v>
      </c>
      <c r="R105" s="39" t="e">
        <f t="shared" si="19"/>
        <v>#DIV/0!</v>
      </c>
      <c r="S105" s="39" t="e">
        <f t="shared" si="19"/>
        <v>#DIV/0!</v>
      </c>
      <c r="T105" s="39" t="e">
        <f t="shared" si="19"/>
        <v>#DIV/0!</v>
      </c>
      <c r="U105" s="39" t="e">
        <f t="shared" ref="U105:U107" si="22">1/0</f>
        <v>#DIV/0!</v>
      </c>
      <c r="V105" s="39" t="e">
        <f t="shared" ref="V105:V107" si="23">1/0</f>
        <v>#DIV/0!</v>
      </c>
    </row>
    <row r="106" spans="1:22" s="39" customFormat="1" ht="15.75" thickBot="1">
      <c r="A106" s="808" t="s">
        <v>1647</v>
      </c>
      <c r="B106" s="717">
        <v>1.4</v>
      </c>
      <c r="C106" s="739"/>
      <c r="D106" s="39" t="e">
        <f t="shared" si="20"/>
        <v>#DIV/0!</v>
      </c>
      <c r="E106" s="39" t="e">
        <f t="shared" si="20"/>
        <v>#DIV/0!</v>
      </c>
      <c r="F106" s="39" t="e">
        <f t="shared" si="20"/>
        <v>#DIV/0!</v>
      </c>
      <c r="G106" s="39" t="e">
        <f t="shared" si="20"/>
        <v>#DIV/0!</v>
      </c>
      <c r="H106" s="39" t="e">
        <f t="shared" si="18"/>
        <v>#DIV/0!</v>
      </c>
      <c r="I106" s="39">
        <v>2.5</v>
      </c>
      <c r="J106" s="39" t="e">
        <f t="shared" si="21"/>
        <v>#DIV/0!</v>
      </c>
      <c r="K106" s="39" t="e">
        <f t="shared" si="21"/>
        <v>#DIV/0!</v>
      </c>
      <c r="L106" s="39" t="e">
        <f t="shared" si="21"/>
        <v>#DIV/0!</v>
      </c>
      <c r="M106" s="39" t="e">
        <f t="shared" si="21"/>
        <v>#DIV/0!</v>
      </c>
      <c r="N106" s="39" t="e">
        <f t="shared" si="21"/>
        <v>#DIV/0!</v>
      </c>
      <c r="O106" s="39" t="e">
        <f t="shared" si="19"/>
        <v>#DIV/0!</v>
      </c>
      <c r="P106" s="39" t="e">
        <f t="shared" si="19"/>
        <v>#DIV/0!</v>
      </c>
      <c r="Q106" s="39" t="e">
        <f t="shared" si="19"/>
        <v>#DIV/0!</v>
      </c>
      <c r="R106" s="39" t="e">
        <f t="shared" si="19"/>
        <v>#DIV/0!</v>
      </c>
      <c r="S106" s="39" t="e">
        <f t="shared" si="19"/>
        <v>#DIV/0!</v>
      </c>
      <c r="T106" s="39" t="e">
        <f t="shared" si="19"/>
        <v>#DIV/0!</v>
      </c>
      <c r="U106" s="39" t="e">
        <f t="shared" si="22"/>
        <v>#DIV/0!</v>
      </c>
      <c r="V106" s="39" t="e">
        <f t="shared" si="23"/>
        <v>#DIV/0!</v>
      </c>
    </row>
    <row r="107" spans="1:22" s="39" customFormat="1" ht="15.75" thickBot="1">
      <c r="A107" s="808" t="s">
        <v>1648</v>
      </c>
      <c r="B107" s="717">
        <v>1.4</v>
      </c>
      <c r="C107" s="739"/>
      <c r="D107" s="39" t="e">
        <f t="shared" si="20"/>
        <v>#DIV/0!</v>
      </c>
      <c r="E107" s="39" t="e">
        <f t="shared" si="20"/>
        <v>#DIV/0!</v>
      </c>
      <c r="F107" s="39" t="e">
        <f t="shared" si="20"/>
        <v>#DIV/0!</v>
      </c>
      <c r="G107" s="39" t="e">
        <f t="shared" si="20"/>
        <v>#DIV/0!</v>
      </c>
      <c r="H107" s="39" t="e">
        <f t="shared" si="18"/>
        <v>#DIV/0!</v>
      </c>
      <c r="I107" s="39">
        <v>2.5</v>
      </c>
      <c r="J107" s="39" t="e">
        <f t="shared" si="21"/>
        <v>#DIV/0!</v>
      </c>
      <c r="K107" s="39" t="e">
        <f t="shared" si="21"/>
        <v>#DIV/0!</v>
      </c>
      <c r="L107" s="39" t="e">
        <f t="shared" si="21"/>
        <v>#DIV/0!</v>
      </c>
      <c r="M107" s="39" t="e">
        <f t="shared" si="21"/>
        <v>#DIV/0!</v>
      </c>
      <c r="N107" s="39" t="e">
        <f t="shared" si="21"/>
        <v>#DIV/0!</v>
      </c>
      <c r="O107" s="39" t="e">
        <f t="shared" si="19"/>
        <v>#DIV/0!</v>
      </c>
      <c r="P107" s="39" t="e">
        <f t="shared" si="19"/>
        <v>#DIV/0!</v>
      </c>
      <c r="Q107" s="39" t="e">
        <f t="shared" si="19"/>
        <v>#DIV/0!</v>
      </c>
      <c r="R107" s="39" t="e">
        <f t="shared" si="19"/>
        <v>#DIV/0!</v>
      </c>
      <c r="S107" s="39" t="e">
        <f t="shared" si="19"/>
        <v>#DIV/0!</v>
      </c>
      <c r="T107" s="39" t="e">
        <f t="shared" si="19"/>
        <v>#DIV/0!</v>
      </c>
      <c r="U107" s="39" t="e">
        <f t="shared" si="22"/>
        <v>#DIV/0!</v>
      </c>
      <c r="V107" s="39" t="e">
        <f t="shared" si="23"/>
        <v>#DIV/0!</v>
      </c>
    </row>
    <row r="108" spans="1:22" s="39" customFormat="1">
      <c r="B108" s="717"/>
      <c r="C108" s="739"/>
      <c r="D108" s="39" t="e">
        <f t="shared" si="5"/>
        <v>#DIV/0!</v>
      </c>
      <c r="E108" s="39" t="e">
        <f t="shared" si="5"/>
        <v>#DIV/0!</v>
      </c>
      <c r="F108" s="39" t="e">
        <f t="shared" si="5"/>
        <v>#DIV/0!</v>
      </c>
      <c r="G108" s="39" t="e">
        <f t="shared" si="5"/>
        <v>#DIV/0!</v>
      </c>
      <c r="H108" s="39" t="e">
        <f t="shared" si="18"/>
        <v>#DIV/0!</v>
      </c>
      <c r="I108" s="39" t="e">
        <f t="shared" si="18"/>
        <v>#DIV/0!</v>
      </c>
      <c r="J108" s="39" t="e">
        <f t="shared" si="16"/>
        <v>#DIV/0!</v>
      </c>
      <c r="K108" s="39" t="e">
        <f t="shared" si="16"/>
        <v>#DIV/0!</v>
      </c>
      <c r="L108" s="39" t="e">
        <f t="shared" si="16"/>
        <v>#DIV/0!</v>
      </c>
      <c r="M108" s="39" t="e">
        <f t="shared" si="16"/>
        <v>#DIV/0!</v>
      </c>
      <c r="N108" s="39" t="e">
        <f t="shared" si="16"/>
        <v>#DIV/0!</v>
      </c>
      <c r="O108" s="39" t="e">
        <f t="shared" si="19"/>
        <v>#DIV/0!</v>
      </c>
      <c r="P108" s="39" t="e">
        <f t="shared" si="19"/>
        <v>#DIV/0!</v>
      </c>
      <c r="Q108" s="39" t="e">
        <f t="shared" si="14"/>
        <v>#DIV/0!</v>
      </c>
      <c r="R108" s="39" t="e">
        <f t="shared" si="14"/>
        <v>#DIV/0!</v>
      </c>
      <c r="S108" s="39" t="e">
        <f t="shared" si="14"/>
        <v>#DIV/0!</v>
      </c>
      <c r="T108" s="39" t="e">
        <f t="shared" si="14"/>
        <v>#DIV/0!</v>
      </c>
      <c r="U108" s="39" t="e">
        <f t="shared" si="15"/>
        <v>#DIV/0!</v>
      </c>
      <c r="V108" s="39" t="e">
        <f t="shared" si="15"/>
        <v>#DIV/0!</v>
      </c>
    </row>
    <row r="109" spans="1:22" s="39" customFormat="1">
      <c r="A109" s="548" t="s">
        <v>1616</v>
      </c>
      <c r="B109" s="719">
        <v>1.4</v>
      </c>
      <c r="C109" s="740"/>
      <c r="D109" s="39" t="e">
        <f t="shared" si="5"/>
        <v>#DIV/0!</v>
      </c>
      <c r="E109" s="39" t="e">
        <f t="shared" si="5"/>
        <v>#DIV/0!</v>
      </c>
      <c r="F109" s="39" t="e">
        <f t="shared" si="5"/>
        <v>#DIV/0!</v>
      </c>
      <c r="G109" s="39" t="e">
        <f t="shared" si="5"/>
        <v>#DIV/0!</v>
      </c>
      <c r="H109" s="39" t="e">
        <f t="shared" si="18"/>
        <v>#DIV/0!</v>
      </c>
      <c r="I109" s="39" t="e">
        <f t="shared" si="18"/>
        <v>#DIV/0!</v>
      </c>
      <c r="J109" s="39">
        <v>2.5</v>
      </c>
      <c r="K109" s="39" t="e">
        <f t="shared" si="16"/>
        <v>#DIV/0!</v>
      </c>
      <c r="L109" s="39" t="e">
        <f t="shared" si="16"/>
        <v>#DIV/0!</v>
      </c>
      <c r="M109" s="39" t="e">
        <f t="shared" si="16"/>
        <v>#DIV/0!</v>
      </c>
      <c r="N109" s="39" t="e">
        <f t="shared" si="16"/>
        <v>#DIV/0!</v>
      </c>
      <c r="O109" s="39" t="e">
        <f t="shared" si="19"/>
        <v>#DIV/0!</v>
      </c>
      <c r="P109" s="39" t="e">
        <f t="shared" si="19"/>
        <v>#DIV/0!</v>
      </c>
      <c r="Q109" s="39" t="e">
        <f t="shared" si="14"/>
        <v>#DIV/0!</v>
      </c>
      <c r="R109" s="39" t="e">
        <f t="shared" si="14"/>
        <v>#DIV/0!</v>
      </c>
      <c r="S109" s="39" t="e">
        <f t="shared" si="14"/>
        <v>#DIV/0!</v>
      </c>
      <c r="T109" s="39" t="e">
        <f t="shared" si="14"/>
        <v>#DIV/0!</v>
      </c>
      <c r="U109" s="39" t="e">
        <f t="shared" si="15"/>
        <v>#DIV/0!</v>
      </c>
      <c r="V109" s="39" t="e">
        <f t="shared" si="15"/>
        <v>#DIV/0!</v>
      </c>
    </row>
    <row r="110" spans="1:22" s="39" customFormat="1">
      <c r="A110" s="548" t="s">
        <v>1615</v>
      </c>
      <c r="B110" s="719"/>
      <c r="C110" s="739"/>
      <c r="D110" s="39" t="e">
        <f t="shared" ref="D110:G110" si="24">1/0</f>
        <v>#DIV/0!</v>
      </c>
      <c r="E110" s="39" t="e">
        <f t="shared" si="24"/>
        <v>#DIV/0!</v>
      </c>
      <c r="F110" s="39" t="e">
        <f t="shared" si="24"/>
        <v>#DIV/0!</v>
      </c>
      <c r="G110" s="39" t="e">
        <f t="shared" si="24"/>
        <v>#DIV/0!</v>
      </c>
      <c r="H110" s="39" t="e">
        <f t="shared" si="18"/>
        <v>#DIV/0!</v>
      </c>
      <c r="I110" s="39" t="e">
        <f t="shared" si="18"/>
        <v>#DIV/0!</v>
      </c>
      <c r="J110" s="39">
        <v>2.5</v>
      </c>
      <c r="K110" s="39" t="e">
        <f t="shared" ref="K110:T110" si="25">1/0</f>
        <v>#DIV/0!</v>
      </c>
      <c r="L110" s="39" t="e">
        <f t="shared" si="25"/>
        <v>#DIV/0!</v>
      </c>
      <c r="M110" s="39" t="e">
        <f t="shared" si="25"/>
        <v>#DIV/0!</v>
      </c>
      <c r="N110" s="39" t="e">
        <f t="shared" si="25"/>
        <v>#DIV/0!</v>
      </c>
      <c r="O110" s="39" t="e">
        <f t="shared" si="25"/>
        <v>#DIV/0!</v>
      </c>
      <c r="P110" s="39" t="e">
        <f t="shared" si="25"/>
        <v>#DIV/0!</v>
      </c>
      <c r="Q110" s="39" t="e">
        <f t="shared" si="25"/>
        <v>#DIV/0!</v>
      </c>
      <c r="R110" s="39" t="e">
        <f t="shared" si="25"/>
        <v>#DIV/0!</v>
      </c>
      <c r="S110" s="39" t="e">
        <f t="shared" si="25"/>
        <v>#DIV/0!</v>
      </c>
      <c r="T110" s="39" t="e">
        <f t="shared" si="25"/>
        <v>#DIV/0!</v>
      </c>
      <c r="U110" s="39" t="e">
        <f t="shared" si="15"/>
        <v>#DIV/0!</v>
      </c>
      <c r="V110" s="39" t="e">
        <f t="shared" si="15"/>
        <v>#DIV/0!</v>
      </c>
    </row>
    <row r="111" spans="1:22" s="39" customFormat="1">
      <c r="A111" s="809" t="s">
        <v>1508</v>
      </c>
      <c r="B111" s="719">
        <v>1.4</v>
      </c>
      <c r="C111" s="740"/>
      <c r="D111" s="39" t="e">
        <f t="shared" si="5"/>
        <v>#DIV/0!</v>
      </c>
      <c r="E111" s="39" t="e">
        <f t="shared" si="5"/>
        <v>#DIV/0!</v>
      </c>
      <c r="F111" s="39" t="e">
        <f t="shared" si="5"/>
        <v>#DIV/0!</v>
      </c>
      <c r="G111" s="39" t="e">
        <f t="shared" si="5"/>
        <v>#DIV/0!</v>
      </c>
      <c r="H111" s="39" t="e">
        <f t="shared" si="18"/>
        <v>#DIV/0!</v>
      </c>
      <c r="I111" s="39" t="e">
        <f t="shared" si="18"/>
        <v>#DIV/0!</v>
      </c>
      <c r="J111" s="39">
        <v>3.75</v>
      </c>
      <c r="K111" s="39" t="e">
        <f t="shared" ref="K111:T135" si="26">1/0</f>
        <v>#DIV/0!</v>
      </c>
      <c r="L111" s="39" t="e">
        <f t="shared" si="26"/>
        <v>#DIV/0!</v>
      </c>
      <c r="M111" s="39" t="e">
        <f t="shared" si="26"/>
        <v>#DIV/0!</v>
      </c>
      <c r="N111" s="39" t="e">
        <f t="shared" si="26"/>
        <v>#DIV/0!</v>
      </c>
      <c r="O111" s="39" t="e">
        <f t="shared" si="19"/>
        <v>#DIV/0!</v>
      </c>
      <c r="P111" s="39" t="e">
        <f t="shared" si="19"/>
        <v>#DIV/0!</v>
      </c>
      <c r="Q111" s="39" t="e">
        <f t="shared" si="14"/>
        <v>#DIV/0!</v>
      </c>
      <c r="R111" s="39" t="e">
        <f t="shared" si="14"/>
        <v>#DIV/0!</v>
      </c>
      <c r="S111" s="39" t="e">
        <f t="shared" si="14"/>
        <v>#DIV/0!</v>
      </c>
      <c r="T111" s="39" t="e">
        <f t="shared" si="14"/>
        <v>#DIV/0!</v>
      </c>
      <c r="U111" s="39" t="e">
        <f t="shared" si="15"/>
        <v>#DIV/0!</v>
      </c>
      <c r="V111" s="39" t="e">
        <f t="shared" si="15"/>
        <v>#DIV/0!</v>
      </c>
    </row>
    <row r="112" spans="1:22" s="39" customFormat="1">
      <c r="A112" s="809" t="s">
        <v>1525</v>
      </c>
      <c r="B112" s="719">
        <v>1.4</v>
      </c>
      <c r="C112" s="739"/>
      <c r="D112" s="39" t="e">
        <f t="shared" ref="D112:G114" si="27">1/0</f>
        <v>#DIV/0!</v>
      </c>
      <c r="E112" s="39" t="e">
        <f t="shared" si="27"/>
        <v>#DIV/0!</v>
      </c>
      <c r="F112" s="39" t="e">
        <f t="shared" si="27"/>
        <v>#DIV/0!</v>
      </c>
      <c r="G112" s="39" t="e">
        <f t="shared" si="27"/>
        <v>#DIV/0!</v>
      </c>
      <c r="H112" s="39" t="e">
        <f t="shared" si="18"/>
        <v>#DIV/0!</v>
      </c>
      <c r="I112" s="39" t="e">
        <f t="shared" si="18"/>
        <v>#DIV/0!</v>
      </c>
      <c r="J112" s="61">
        <v>2.5</v>
      </c>
      <c r="K112" s="39" t="e">
        <f t="shared" si="26"/>
        <v>#DIV/0!</v>
      </c>
      <c r="L112" s="39" t="e">
        <f t="shared" si="26"/>
        <v>#DIV/0!</v>
      </c>
      <c r="M112" s="39" t="e">
        <f t="shared" si="26"/>
        <v>#DIV/0!</v>
      </c>
      <c r="N112" s="39" t="e">
        <f t="shared" si="26"/>
        <v>#DIV/0!</v>
      </c>
      <c r="O112" s="39" t="e">
        <f t="shared" si="26"/>
        <v>#DIV/0!</v>
      </c>
      <c r="P112" s="39" t="e">
        <f t="shared" si="26"/>
        <v>#DIV/0!</v>
      </c>
      <c r="Q112" s="39" t="e">
        <f t="shared" si="26"/>
        <v>#DIV/0!</v>
      </c>
      <c r="R112" s="39" t="e">
        <f t="shared" si="26"/>
        <v>#DIV/0!</v>
      </c>
      <c r="S112" s="39" t="e">
        <f t="shared" si="26"/>
        <v>#DIV/0!</v>
      </c>
      <c r="T112" s="39" t="e">
        <f t="shared" si="26"/>
        <v>#DIV/0!</v>
      </c>
      <c r="U112" s="39" t="e">
        <f t="shared" si="15"/>
        <v>#DIV/0!</v>
      </c>
      <c r="V112" s="39" t="e">
        <f t="shared" si="15"/>
        <v>#DIV/0!</v>
      </c>
    </row>
    <row r="113" spans="1:23" s="39" customFormat="1">
      <c r="A113" s="809" t="s">
        <v>1509</v>
      </c>
      <c r="B113" s="719">
        <v>1.4</v>
      </c>
      <c r="C113" s="739"/>
      <c r="D113" s="39" t="e">
        <f t="shared" si="5"/>
        <v>#DIV/0!</v>
      </c>
      <c r="E113" s="39" t="e">
        <f t="shared" si="5"/>
        <v>#DIV/0!</v>
      </c>
      <c r="F113" s="39" t="e">
        <f t="shared" si="5"/>
        <v>#DIV/0!</v>
      </c>
      <c r="G113" s="39" t="e">
        <f t="shared" si="5"/>
        <v>#DIV/0!</v>
      </c>
      <c r="H113" s="39" t="e">
        <f t="shared" si="18"/>
        <v>#DIV/0!</v>
      </c>
      <c r="I113" s="39" t="e">
        <f t="shared" si="18"/>
        <v>#DIV/0!</v>
      </c>
      <c r="J113" s="39">
        <v>3.75</v>
      </c>
      <c r="K113" s="39" t="e">
        <f t="shared" si="26"/>
        <v>#DIV/0!</v>
      </c>
      <c r="L113" s="39" t="e">
        <f t="shared" si="26"/>
        <v>#DIV/0!</v>
      </c>
      <c r="M113" s="39" t="e">
        <f t="shared" si="26"/>
        <v>#DIV/0!</v>
      </c>
      <c r="N113" s="39" t="e">
        <f t="shared" si="26"/>
        <v>#DIV/0!</v>
      </c>
      <c r="O113" s="39" t="e">
        <f t="shared" si="19"/>
        <v>#DIV/0!</v>
      </c>
      <c r="P113" s="39" t="e">
        <f t="shared" si="19"/>
        <v>#DIV/0!</v>
      </c>
      <c r="Q113" s="39" t="e">
        <f t="shared" si="14"/>
        <v>#DIV/0!</v>
      </c>
      <c r="R113" s="39" t="e">
        <f t="shared" si="14"/>
        <v>#DIV/0!</v>
      </c>
      <c r="S113" s="39" t="e">
        <f t="shared" si="14"/>
        <v>#DIV/0!</v>
      </c>
      <c r="T113" s="39" t="e">
        <f t="shared" si="14"/>
        <v>#DIV/0!</v>
      </c>
      <c r="U113" s="39" t="e">
        <f t="shared" si="15"/>
        <v>#DIV/0!</v>
      </c>
      <c r="V113" s="39" t="e">
        <f t="shared" si="15"/>
        <v>#DIV/0!</v>
      </c>
    </row>
    <row r="114" spans="1:23" s="39" customFormat="1">
      <c r="A114" s="809" t="s">
        <v>1526</v>
      </c>
      <c r="B114" s="719">
        <v>1.4</v>
      </c>
      <c r="C114" s="739"/>
      <c r="D114" s="39" t="e">
        <f t="shared" si="27"/>
        <v>#DIV/0!</v>
      </c>
      <c r="E114" s="39" t="e">
        <f t="shared" si="27"/>
        <v>#DIV/0!</v>
      </c>
      <c r="F114" s="39" t="e">
        <f t="shared" si="27"/>
        <v>#DIV/0!</v>
      </c>
      <c r="G114" s="39" t="e">
        <f t="shared" si="27"/>
        <v>#DIV/0!</v>
      </c>
      <c r="H114" s="39" t="e">
        <f t="shared" si="18"/>
        <v>#DIV/0!</v>
      </c>
      <c r="I114" s="39" t="e">
        <f t="shared" si="18"/>
        <v>#DIV/0!</v>
      </c>
      <c r="J114" s="61">
        <v>2.5</v>
      </c>
      <c r="K114" s="39" t="e">
        <f t="shared" si="26"/>
        <v>#DIV/0!</v>
      </c>
      <c r="L114" s="39" t="e">
        <f t="shared" si="26"/>
        <v>#DIV/0!</v>
      </c>
      <c r="M114" s="39" t="e">
        <f t="shared" si="26"/>
        <v>#DIV/0!</v>
      </c>
      <c r="N114" s="39" t="e">
        <f t="shared" si="26"/>
        <v>#DIV/0!</v>
      </c>
      <c r="O114" s="39" t="e">
        <f t="shared" si="26"/>
        <v>#DIV/0!</v>
      </c>
      <c r="P114" s="39" t="e">
        <f t="shared" si="26"/>
        <v>#DIV/0!</v>
      </c>
      <c r="Q114" s="39" t="e">
        <f t="shared" si="26"/>
        <v>#DIV/0!</v>
      </c>
      <c r="R114" s="39" t="e">
        <f t="shared" si="26"/>
        <v>#DIV/0!</v>
      </c>
      <c r="S114" s="39" t="e">
        <f t="shared" si="26"/>
        <v>#DIV/0!</v>
      </c>
      <c r="T114" s="39" t="e">
        <f t="shared" si="26"/>
        <v>#DIV/0!</v>
      </c>
      <c r="U114" s="39" t="e">
        <f t="shared" si="15"/>
        <v>#DIV/0!</v>
      </c>
      <c r="V114" s="39" t="e">
        <f t="shared" si="15"/>
        <v>#DIV/0!</v>
      </c>
    </row>
    <row r="115" spans="1:23" s="39" customFormat="1">
      <c r="A115" s="808" t="s">
        <v>1613</v>
      </c>
      <c r="B115" s="719">
        <v>1.4</v>
      </c>
      <c r="C115" s="739"/>
      <c r="D115" s="39" t="e">
        <f t="shared" ref="D115:G115" si="28">1/0</f>
        <v>#DIV/0!</v>
      </c>
      <c r="E115" s="39" t="e">
        <f t="shared" si="28"/>
        <v>#DIV/0!</v>
      </c>
      <c r="F115" s="39" t="e">
        <f t="shared" si="28"/>
        <v>#DIV/0!</v>
      </c>
      <c r="G115" s="39" t="e">
        <f t="shared" si="28"/>
        <v>#DIV/0!</v>
      </c>
      <c r="H115" s="39" t="e">
        <f t="shared" si="18"/>
        <v>#DIV/0!</v>
      </c>
      <c r="I115" s="39" t="e">
        <f t="shared" si="18"/>
        <v>#DIV/0!</v>
      </c>
      <c r="J115" s="39">
        <v>2.5</v>
      </c>
      <c r="K115" s="39" t="e">
        <f t="shared" si="26"/>
        <v>#DIV/0!</v>
      </c>
      <c r="L115" s="39" t="e">
        <f t="shared" si="26"/>
        <v>#DIV/0!</v>
      </c>
      <c r="M115" s="39" t="e">
        <f t="shared" si="26"/>
        <v>#DIV/0!</v>
      </c>
      <c r="N115" s="39" t="e">
        <f t="shared" si="26"/>
        <v>#DIV/0!</v>
      </c>
      <c r="O115" s="39" t="e">
        <f t="shared" si="19"/>
        <v>#DIV/0!</v>
      </c>
      <c r="P115" s="39" t="e">
        <f t="shared" si="19"/>
        <v>#DIV/0!</v>
      </c>
      <c r="Q115" s="39" t="e">
        <f t="shared" si="19"/>
        <v>#DIV/0!</v>
      </c>
      <c r="R115" s="39" t="e">
        <f t="shared" si="19"/>
        <v>#DIV/0!</v>
      </c>
      <c r="S115" s="39" t="e">
        <f t="shared" si="19"/>
        <v>#DIV/0!</v>
      </c>
      <c r="T115" s="39" t="e">
        <f t="shared" si="19"/>
        <v>#DIV/0!</v>
      </c>
      <c r="U115" s="39" t="e">
        <f>1/0</f>
        <v>#DIV/0!</v>
      </c>
      <c r="V115" s="39" t="e">
        <f>1/0</f>
        <v>#DIV/0!</v>
      </c>
    </row>
    <row r="116" spans="1:23" s="39" customFormat="1">
      <c r="A116" s="809" t="s">
        <v>1527</v>
      </c>
      <c r="B116" s="719">
        <v>1.4</v>
      </c>
      <c r="C116" s="739"/>
      <c r="D116" s="39" t="e">
        <f t="shared" si="5"/>
        <v>#DIV/0!</v>
      </c>
      <c r="E116" s="39" t="e">
        <f t="shared" si="5"/>
        <v>#DIV/0!</v>
      </c>
      <c r="F116" s="39" t="e">
        <f t="shared" si="5"/>
        <v>#DIV/0!</v>
      </c>
      <c r="G116" s="39" t="e">
        <f t="shared" si="5"/>
        <v>#DIV/0!</v>
      </c>
      <c r="H116" s="39" t="e">
        <f t="shared" si="18"/>
        <v>#DIV/0!</v>
      </c>
      <c r="I116" s="39" t="e">
        <f t="shared" si="18"/>
        <v>#DIV/0!</v>
      </c>
      <c r="J116" s="39">
        <v>2.5</v>
      </c>
      <c r="K116" s="39" t="e">
        <f t="shared" si="26"/>
        <v>#DIV/0!</v>
      </c>
      <c r="L116" s="39" t="e">
        <f t="shared" si="26"/>
        <v>#DIV/0!</v>
      </c>
      <c r="M116" s="39" t="e">
        <f t="shared" si="26"/>
        <v>#DIV/0!</v>
      </c>
      <c r="N116" s="39" t="e">
        <f t="shared" si="26"/>
        <v>#DIV/0!</v>
      </c>
      <c r="O116" s="39" t="e">
        <f t="shared" si="19"/>
        <v>#DIV/0!</v>
      </c>
      <c r="P116" s="39" t="e">
        <f t="shared" si="19"/>
        <v>#DIV/0!</v>
      </c>
      <c r="Q116" s="39" t="e">
        <f t="shared" si="14"/>
        <v>#DIV/0!</v>
      </c>
      <c r="R116" s="39" t="e">
        <f t="shared" si="14"/>
        <v>#DIV/0!</v>
      </c>
      <c r="S116" s="39" t="e">
        <f t="shared" si="14"/>
        <v>#DIV/0!</v>
      </c>
      <c r="T116" s="39" t="e">
        <f t="shared" si="14"/>
        <v>#DIV/0!</v>
      </c>
      <c r="U116" s="39" t="e">
        <f t="shared" si="15"/>
        <v>#DIV/0!</v>
      </c>
      <c r="V116" s="39" t="e">
        <f t="shared" si="15"/>
        <v>#DIV/0!</v>
      </c>
    </row>
    <row r="117" spans="1:23" s="39" customFormat="1">
      <c r="A117" s="810" t="s">
        <v>1532</v>
      </c>
      <c r="B117" s="719"/>
      <c r="C117" s="739"/>
      <c r="D117" s="39" t="e">
        <f t="shared" ref="D117:G119" si="29">1/0</f>
        <v>#DIV/0!</v>
      </c>
      <c r="E117" s="39" t="e">
        <f t="shared" si="29"/>
        <v>#DIV/0!</v>
      </c>
      <c r="F117" s="39" t="e">
        <f t="shared" si="29"/>
        <v>#DIV/0!</v>
      </c>
      <c r="G117" s="39" t="e">
        <f t="shared" si="29"/>
        <v>#DIV/0!</v>
      </c>
      <c r="H117" s="39" t="e">
        <f t="shared" si="18"/>
        <v>#DIV/0!</v>
      </c>
      <c r="I117" s="39" t="e">
        <f t="shared" si="18"/>
        <v>#DIV/0!</v>
      </c>
      <c r="J117" s="39">
        <v>2.2000000000000002</v>
      </c>
      <c r="K117" s="39" t="e">
        <f t="shared" si="26"/>
        <v>#DIV/0!</v>
      </c>
      <c r="L117" s="39" t="e">
        <f t="shared" si="26"/>
        <v>#DIV/0!</v>
      </c>
      <c r="M117" s="39" t="e">
        <f t="shared" si="26"/>
        <v>#DIV/0!</v>
      </c>
      <c r="N117" s="39" t="e">
        <f t="shared" si="26"/>
        <v>#DIV/0!</v>
      </c>
      <c r="O117" s="39" t="e">
        <f t="shared" si="26"/>
        <v>#DIV/0!</v>
      </c>
      <c r="P117" s="39" t="e">
        <f t="shared" si="26"/>
        <v>#DIV/0!</v>
      </c>
      <c r="Q117" s="39" t="e">
        <f t="shared" si="26"/>
        <v>#DIV/0!</v>
      </c>
      <c r="R117" s="39" t="e">
        <f t="shared" si="26"/>
        <v>#DIV/0!</v>
      </c>
      <c r="S117" s="39" t="e">
        <f t="shared" si="26"/>
        <v>#DIV/0!</v>
      </c>
      <c r="T117" s="39" t="e">
        <f t="shared" si="26"/>
        <v>#DIV/0!</v>
      </c>
      <c r="U117" s="39" t="e">
        <f t="shared" si="15"/>
        <v>#DIV/0!</v>
      </c>
      <c r="V117" s="39" t="e">
        <f t="shared" si="15"/>
        <v>#DIV/0!</v>
      </c>
    </row>
    <row r="118" spans="1:23" s="39" customFormat="1">
      <c r="A118" s="809" t="s">
        <v>1614</v>
      </c>
      <c r="B118" s="719">
        <v>1.4</v>
      </c>
      <c r="C118" s="739"/>
      <c r="D118" s="39" t="e">
        <f t="shared" si="5"/>
        <v>#DIV/0!</v>
      </c>
      <c r="E118" s="39" t="e">
        <f t="shared" si="5"/>
        <v>#DIV/0!</v>
      </c>
      <c r="F118" s="39" t="e">
        <f t="shared" si="5"/>
        <v>#DIV/0!</v>
      </c>
      <c r="G118" s="39" t="e">
        <f t="shared" si="5"/>
        <v>#DIV/0!</v>
      </c>
      <c r="H118" s="39" t="e">
        <f t="shared" si="18"/>
        <v>#DIV/0!</v>
      </c>
      <c r="I118" s="39" t="e">
        <f t="shared" si="18"/>
        <v>#DIV/0!</v>
      </c>
      <c r="J118" s="39">
        <v>2.5</v>
      </c>
      <c r="K118" s="39" t="e">
        <f t="shared" si="26"/>
        <v>#DIV/0!</v>
      </c>
      <c r="L118" s="39" t="e">
        <f t="shared" si="26"/>
        <v>#DIV/0!</v>
      </c>
      <c r="M118" s="39" t="e">
        <f t="shared" si="26"/>
        <v>#DIV/0!</v>
      </c>
      <c r="N118" s="39" t="e">
        <f t="shared" si="26"/>
        <v>#DIV/0!</v>
      </c>
      <c r="O118" s="39" t="e">
        <f t="shared" si="19"/>
        <v>#DIV/0!</v>
      </c>
      <c r="P118" s="39" t="e">
        <f t="shared" si="19"/>
        <v>#DIV/0!</v>
      </c>
      <c r="Q118" s="39" t="e">
        <f t="shared" si="14"/>
        <v>#DIV/0!</v>
      </c>
      <c r="R118" s="39" t="e">
        <f t="shared" si="14"/>
        <v>#DIV/0!</v>
      </c>
      <c r="S118" s="39" t="e">
        <f t="shared" si="14"/>
        <v>#DIV/0!</v>
      </c>
      <c r="T118" s="39" t="e">
        <f t="shared" si="14"/>
        <v>#DIV/0!</v>
      </c>
      <c r="U118" s="39" t="e">
        <f t="shared" si="15"/>
        <v>#DIV/0!</v>
      </c>
      <c r="V118" s="39" t="e">
        <f t="shared" si="15"/>
        <v>#DIV/0!</v>
      </c>
    </row>
    <row r="119" spans="1:23" s="39" customFormat="1">
      <c r="A119" s="811" t="s">
        <v>1533</v>
      </c>
      <c r="B119" s="719"/>
      <c r="C119" s="739"/>
      <c r="D119" s="39" t="e">
        <f t="shared" si="29"/>
        <v>#DIV/0!</v>
      </c>
      <c r="E119" s="39" t="e">
        <f t="shared" si="29"/>
        <v>#DIV/0!</v>
      </c>
      <c r="F119" s="39" t="e">
        <f t="shared" si="29"/>
        <v>#DIV/0!</v>
      </c>
      <c r="G119" s="39" t="e">
        <f t="shared" si="29"/>
        <v>#DIV/0!</v>
      </c>
      <c r="H119" s="39" t="e">
        <f t="shared" si="18"/>
        <v>#DIV/0!</v>
      </c>
      <c r="I119" s="39" t="e">
        <f t="shared" si="18"/>
        <v>#DIV/0!</v>
      </c>
      <c r="J119" s="39">
        <v>2.2000000000000002</v>
      </c>
      <c r="K119" s="39" t="e">
        <f t="shared" si="26"/>
        <v>#DIV/0!</v>
      </c>
      <c r="L119" s="39" t="e">
        <f t="shared" si="26"/>
        <v>#DIV/0!</v>
      </c>
      <c r="M119" s="39" t="e">
        <f t="shared" si="26"/>
        <v>#DIV/0!</v>
      </c>
      <c r="N119" s="39" t="e">
        <f t="shared" si="26"/>
        <v>#DIV/0!</v>
      </c>
      <c r="O119" s="39" t="e">
        <f t="shared" si="26"/>
        <v>#DIV/0!</v>
      </c>
      <c r="P119" s="39" t="e">
        <f t="shared" si="26"/>
        <v>#DIV/0!</v>
      </c>
      <c r="Q119" s="39" t="e">
        <f t="shared" si="26"/>
        <v>#DIV/0!</v>
      </c>
      <c r="R119" s="39" t="e">
        <f t="shared" si="26"/>
        <v>#DIV/0!</v>
      </c>
      <c r="S119" s="39" t="e">
        <f t="shared" si="26"/>
        <v>#DIV/0!</v>
      </c>
      <c r="T119" s="39" t="e">
        <f t="shared" si="26"/>
        <v>#DIV/0!</v>
      </c>
      <c r="U119" s="39" t="e">
        <f t="shared" si="15"/>
        <v>#DIV/0!</v>
      </c>
      <c r="V119" s="39" t="e">
        <f t="shared" si="15"/>
        <v>#DIV/0!</v>
      </c>
    </row>
    <row r="120" spans="1:23" s="39" customFormat="1">
      <c r="A120" s="39" t="s">
        <v>1510</v>
      </c>
      <c r="B120" s="719">
        <v>1.4</v>
      </c>
      <c r="C120" s="739"/>
      <c r="D120" s="39" t="e">
        <f t="shared" si="5"/>
        <v>#DIV/0!</v>
      </c>
      <c r="E120" s="39" t="e">
        <f t="shared" si="5"/>
        <v>#DIV/0!</v>
      </c>
      <c r="F120" s="39" t="e">
        <f t="shared" si="5"/>
        <v>#DIV/0!</v>
      </c>
      <c r="G120" s="39" t="e">
        <f t="shared" si="5"/>
        <v>#DIV/0!</v>
      </c>
      <c r="H120" s="39" t="e">
        <f t="shared" si="18"/>
        <v>#DIV/0!</v>
      </c>
      <c r="I120" s="39" t="e">
        <f t="shared" si="18"/>
        <v>#DIV/0!</v>
      </c>
      <c r="J120" s="39">
        <v>2.95</v>
      </c>
      <c r="K120" s="39" t="e">
        <f t="shared" si="26"/>
        <v>#DIV/0!</v>
      </c>
      <c r="L120" s="39" t="e">
        <f t="shared" si="26"/>
        <v>#DIV/0!</v>
      </c>
      <c r="M120" s="39" t="e">
        <f t="shared" si="26"/>
        <v>#DIV/0!</v>
      </c>
      <c r="N120" s="39" t="e">
        <f t="shared" si="26"/>
        <v>#DIV/0!</v>
      </c>
      <c r="O120" s="39" t="e">
        <f t="shared" si="19"/>
        <v>#DIV/0!</v>
      </c>
      <c r="P120" s="39" t="e">
        <f t="shared" si="19"/>
        <v>#DIV/0!</v>
      </c>
      <c r="Q120" s="39" t="e">
        <f t="shared" si="14"/>
        <v>#DIV/0!</v>
      </c>
      <c r="R120" s="39" t="e">
        <f t="shared" si="14"/>
        <v>#DIV/0!</v>
      </c>
      <c r="S120" s="39" t="e">
        <f t="shared" si="14"/>
        <v>#DIV/0!</v>
      </c>
      <c r="T120" s="39" t="e">
        <f t="shared" si="14"/>
        <v>#DIV/0!</v>
      </c>
      <c r="U120" s="39" t="e">
        <f t="shared" si="15"/>
        <v>#DIV/0!</v>
      </c>
      <c r="V120" s="39" t="e">
        <f t="shared" si="15"/>
        <v>#DIV/0!</v>
      </c>
    </row>
    <row r="121" spans="1:23" s="39" customFormat="1">
      <c r="A121" s="808" t="s">
        <v>1511</v>
      </c>
      <c r="B121" s="719">
        <v>1.4</v>
      </c>
      <c r="C121" s="739"/>
      <c r="D121" s="39" t="e">
        <f t="shared" ref="D121:G189" si="30">1/0</f>
        <v>#DIV/0!</v>
      </c>
      <c r="E121" s="39" t="e">
        <f t="shared" si="30"/>
        <v>#DIV/0!</v>
      </c>
      <c r="F121" s="39" t="e">
        <f t="shared" si="30"/>
        <v>#DIV/0!</v>
      </c>
      <c r="G121" s="39" t="e">
        <f t="shared" si="30"/>
        <v>#DIV/0!</v>
      </c>
      <c r="H121" s="39" t="e">
        <f t="shared" si="18"/>
        <v>#DIV/0!</v>
      </c>
      <c r="I121" s="39" t="e">
        <f t="shared" si="18"/>
        <v>#DIV/0!</v>
      </c>
      <c r="J121" s="39">
        <v>2.95</v>
      </c>
      <c r="K121" s="39" t="e">
        <f t="shared" si="26"/>
        <v>#DIV/0!</v>
      </c>
      <c r="L121" s="39" t="e">
        <f t="shared" si="26"/>
        <v>#DIV/0!</v>
      </c>
      <c r="M121" s="39" t="e">
        <f t="shared" si="26"/>
        <v>#DIV/0!</v>
      </c>
      <c r="N121" s="39" t="e">
        <f t="shared" si="26"/>
        <v>#DIV/0!</v>
      </c>
      <c r="O121" s="39" t="e">
        <f t="shared" si="19"/>
        <v>#DIV/0!</v>
      </c>
      <c r="P121" s="39" t="e">
        <f t="shared" si="19"/>
        <v>#DIV/0!</v>
      </c>
      <c r="Q121" s="39" t="e">
        <f t="shared" si="14"/>
        <v>#DIV/0!</v>
      </c>
      <c r="R121" s="39" t="e">
        <f t="shared" si="14"/>
        <v>#DIV/0!</v>
      </c>
      <c r="S121" s="39" t="e">
        <f t="shared" si="14"/>
        <v>#DIV/0!</v>
      </c>
      <c r="T121" s="39" t="e">
        <f t="shared" si="14"/>
        <v>#DIV/0!</v>
      </c>
      <c r="U121" s="39" t="e">
        <f t="shared" si="15"/>
        <v>#DIV/0!</v>
      </c>
      <c r="V121" s="39" t="e">
        <f t="shared" si="15"/>
        <v>#DIV/0!</v>
      </c>
    </row>
    <row r="122" spans="1:23">
      <c r="A122" s="808" t="s">
        <v>1512</v>
      </c>
      <c r="B122" s="719">
        <v>1.4</v>
      </c>
      <c r="C122" s="739"/>
      <c r="D122" s="39" t="e">
        <f t="shared" si="30"/>
        <v>#DIV/0!</v>
      </c>
      <c r="E122" s="39" t="e">
        <f t="shared" si="30"/>
        <v>#DIV/0!</v>
      </c>
      <c r="F122" s="39" t="e">
        <f t="shared" si="30"/>
        <v>#DIV/0!</v>
      </c>
      <c r="G122" s="39" t="e">
        <f t="shared" si="30"/>
        <v>#DIV/0!</v>
      </c>
      <c r="H122" s="39" t="e">
        <f t="shared" si="18"/>
        <v>#DIV/0!</v>
      </c>
      <c r="I122" s="39" t="e">
        <f t="shared" si="18"/>
        <v>#DIV/0!</v>
      </c>
      <c r="J122" s="39">
        <v>2.95</v>
      </c>
      <c r="K122" s="39" t="e">
        <f t="shared" si="26"/>
        <v>#DIV/0!</v>
      </c>
      <c r="L122" s="39" t="e">
        <f t="shared" si="26"/>
        <v>#DIV/0!</v>
      </c>
      <c r="M122" s="39" t="e">
        <f t="shared" si="26"/>
        <v>#DIV/0!</v>
      </c>
      <c r="N122" s="39" t="e">
        <f t="shared" si="26"/>
        <v>#DIV/0!</v>
      </c>
      <c r="O122" s="39" t="e">
        <f t="shared" si="19"/>
        <v>#DIV/0!</v>
      </c>
      <c r="P122" s="39" t="e">
        <f t="shared" si="19"/>
        <v>#DIV/0!</v>
      </c>
      <c r="Q122" s="39" t="e">
        <f t="shared" si="14"/>
        <v>#DIV/0!</v>
      </c>
      <c r="R122" s="39" t="e">
        <f t="shared" si="14"/>
        <v>#DIV/0!</v>
      </c>
      <c r="S122" s="39" t="e">
        <f t="shared" si="14"/>
        <v>#DIV/0!</v>
      </c>
      <c r="T122" s="39" t="e">
        <f t="shared" si="14"/>
        <v>#DIV/0!</v>
      </c>
      <c r="U122" s="39" t="e">
        <f t="shared" si="15"/>
        <v>#DIV/0!</v>
      </c>
      <c r="V122" s="39" t="e">
        <f t="shared" si="15"/>
        <v>#DIV/0!</v>
      </c>
      <c r="W122"/>
    </row>
    <row r="123" spans="1:23">
      <c r="A123" s="808" t="s">
        <v>1513</v>
      </c>
      <c r="B123" s="719">
        <v>1.4</v>
      </c>
      <c r="C123" s="739"/>
      <c r="D123" s="39" t="e">
        <f t="shared" si="30"/>
        <v>#DIV/0!</v>
      </c>
      <c r="E123" s="39" t="e">
        <f t="shared" si="30"/>
        <v>#DIV/0!</v>
      </c>
      <c r="F123" s="39" t="e">
        <f t="shared" si="30"/>
        <v>#DIV/0!</v>
      </c>
      <c r="G123" s="39" t="e">
        <f t="shared" si="30"/>
        <v>#DIV/0!</v>
      </c>
      <c r="H123" s="39" t="e">
        <f t="shared" si="18"/>
        <v>#DIV/0!</v>
      </c>
      <c r="I123" s="39" t="e">
        <f t="shared" si="18"/>
        <v>#DIV/0!</v>
      </c>
      <c r="J123" s="39">
        <v>2.95</v>
      </c>
      <c r="K123" s="39" t="e">
        <f t="shared" si="26"/>
        <v>#DIV/0!</v>
      </c>
      <c r="L123" s="39" t="e">
        <f t="shared" si="26"/>
        <v>#DIV/0!</v>
      </c>
      <c r="M123" s="39" t="e">
        <f t="shared" si="26"/>
        <v>#DIV/0!</v>
      </c>
      <c r="N123" s="39" t="e">
        <f t="shared" si="26"/>
        <v>#DIV/0!</v>
      </c>
      <c r="O123" s="39" t="e">
        <f t="shared" si="19"/>
        <v>#DIV/0!</v>
      </c>
      <c r="P123" s="39" t="e">
        <f t="shared" si="19"/>
        <v>#DIV/0!</v>
      </c>
      <c r="Q123" s="39" t="e">
        <f t="shared" si="14"/>
        <v>#DIV/0!</v>
      </c>
      <c r="R123" s="39" t="e">
        <f t="shared" si="14"/>
        <v>#DIV/0!</v>
      </c>
      <c r="S123" s="39" t="e">
        <f t="shared" si="14"/>
        <v>#DIV/0!</v>
      </c>
      <c r="T123" s="39" t="e">
        <f t="shared" si="14"/>
        <v>#DIV/0!</v>
      </c>
      <c r="U123" s="39" t="e">
        <f t="shared" si="15"/>
        <v>#DIV/0!</v>
      </c>
      <c r="V123" s="39" t="e">
        <f t="shared" si="15"/>
        <v>#DIV/0!</v>
      </c>
      <c r="W123"/>
    </row>
    <row r="124" spans="1:23">
      <c r="A124" s="808" t="s">
        <v>1514</v>
      </c>
      <c r="B124" s="719">
        <v>1.4</v>
      </c>
      <c r="C124" s="739"/>
      <c r="D124" s="39" t="e">
        <f t="shared" si="30"/>
        <v>#DIV/0!</v>
      </c>
      <c r="E124" s="39" t="e">
        <f t="shared" si="30"/>
        <v>#DIV/0!</v>
      </c>
      <c r="F124" s="39" t="e">
        <f t="shared" si="30"/>
        <v>#DIV/0!</v>
      </c>
      <c r="G124" s="39" t="e">
        <f t="shared" si="30"/>
        <v>#DIV/0!</v>
      </c>
      <c r="H124" s="39" t="e">
        <f t="shared" si="18"/>
        <v>#DIV/0!</v>
      </c>
      <c r="I124" s="39" t="e">
        <f t="shared" si="18"/>
        <v>#DIV/0!</v>
      </c>
      <c r="J124" s="39">
        <v>2.95</v>
      </c>
      <c r="K124" s="39" t="e">
        <f t="shared" si="26"/>
        <v>#DIV/0!</v>
      </c>
      <c r="L124" s="39" t="e">
        <f t="shared" si="26"/>
        <v>#DIV/0!</v>
      </c>
      <c r="M124" s="39" t="e">
        <f t="shared" si="26"/>
        <v>#DIV/0!</v>
      </c>
      <c r="N124" s="39" t="e">
        <f t="shared" si="26"/>
        <v>#DIV/0!</v>
      </c>
      <c r="O124" s="39" t="e">
        <f t="shared" si="19"/>
        <v>#DIV/0!</v>
      </c>
      <c r="P124" s="39" t="e">
        <f t="shared" si="19"/>
        <v>#DIV/0!</v>
      </c>
      <c r="Q124" s="39" t="e">
        <f t="shared" si="14"/>
        <v>#DIV/0!</v>
      </c>
      <c r="R124" s="39" t="e">
        <f t="shared" si="14"/>
        <v>#DIV/0!</v>
      </c>
      <c r="S124" s="39" t="e">
        <f t="shared" si="14"/>
        <v>#DIV/0!</v>
      </c>
      <c r="T124" s="39" t="e">
        <f t="shared" si="14"/>
        <v>#DIV/0!</v>
      </c>
      <c r="U124" s="39" t="e">
        <f t="shared" si="15"/>
        <v>#DIV/0!</v>
      </c>
      <c r="V124" s="39" t="e">
        <f t="shared" si="15"/>
        <v>#DIV/0!</v>
      </c>
      <c r="W124"/>
    </row>
    <row r="125" spans="1:23">
      <c r="A125" s="808" t="s">
        <v>1515</v>
      </c>
      <c r="B125" s="719">
        <v>1.4</v>
      </c>
      <c r="C125" s="739"/>
      <c r="D125" s="39" t="e">
        <f t="shared" si="30"/>
        <v>#DIV/0!</v>
      </c>
      <c r="E125" s="39" t="e">
        <f t="shared" si="30"/>
        <v>#DIV/0!</v>
      </c>
      <c r="F125" s="39" t="e">
        <f t="shared" si="30"/>
        <v>#DIV/0!</v>
      </c>
      <c r="G125" s="39" t="e">
        <f t="shared" si="30"/>
        <v>#DIV/0!</v>
      </c>
      <c r="H125" s="39" t="e">
        <f t="shared" si="18"/>
        <v>#DIV/0!</v>
      </c>
      <c r="I125" s="39" t="e">
        <f t="shared" si="18"/>
        <v>#DIV/0!</v>
      </c>
      <c r="J125" s="39">
        <v>3.95</v>
      </c>
      <c r="K125" s="39" t="e">
        <f t="shared" si="26"/>
        <v>#DIV/0!</v>
      </c>
      <c r="L125" s="39" t="e">
        <f t="shared" si="26"/>
        <v>#DIV/0!</v>
      </c>
      <c r="M125" s="39" t="e">
        <f t="shared" si="26"/>
        <v>#DIV/0!</v>
      </c>
      <c r="N125" s="39" t="e">
        <f t="shared" si="26"/>
        <v>#DIV/0!</v>
      </c>
      <c r="O125" s="39" t="e">
        <f t="shared" si="19"/>
        <v>#DIV/0!</v>
      </c>
      <c r="P125" s="39" t="e">
        <f t="shared" si="19"/>
        <v>#DIV/0!</v>
      </c>
      <c r="Q125" s="39" t="e">
        <f t="shared" si="14"/>
        <v>#DIV/0!</v>
      </c>
      <c r="R125" s="39" t="e">
        <f t="shared" si="14"/>
        <v>#DIV/0!</v>
      </c>
      <c r="S125" s="39" t="e">
        <f t="shared" si="14"/>
        <v>#DIV/0!</v>
      </c>
      <c r="T125" s="39" t="e">
        <f t="shared" si="14"/>
        <v>#DIV/0!</v>
      </c>
      <c r="U125" s="39" t="e">
        <f t="shared" si="15"/>
        <v>#DIV/0!</v>
      </c>
      <c r="V125" s="39" t="e">
        <f t="shared" si="15"/>
        <v>#DIV/0!</v>
      </c>
      <c r="W125"/>
    </row>
    <row r="126" spans="1:23">
      <c r="A126" s="808" t="s">
        <v>1516</v>
      </c>
      <c r="B126" s="719">
        <v>1.4</v>
      </c>
      <c r="C126" s="739"/>
      <c r="D126" s="39" t="e">
        <f t="shared" si="30"/>
        <v>#DIV/0!</v>
      </c>
      <c r="E126" s="39" t="e">
        <f t="shared" si="30"/>
        <v>#DIV/0!</v>
      </c>
      <c r="F126" s="39" t="e">
        <f t="shared" si="30"/>
        <v>#DIV/0!</v>
      </c>
      <c r="G126" s="39" t="e">
        <f t="shared" si="30"/>
        <v>#DIV/0!</v>
      </c>
      <c r="H126" s="39" t="e">
        <f t="shared" si="18"/>
        <v>#DIV/0!</v>
      </c>
      <c r="I126" s="39" t="e">
        <f t="shared" si="18"/>
        <v>#DIV/0!</v>
      </c>
      <c r="J126" s="39">
        <v>3.95</v>
      </c>
      <c r="K126" s="39" t="e">
        <f t="shared" si="26"/>
        <v>#DIV/0!</v>
      </c>
      <c r="L126" s="39" t="e">
        <f t="shared" si="26"/>
        <v>#DIV/0!</v>
      </c>
      <c r="M126" s="39" t="e">
        <f t="shared" si="26"/>
        <v>#DIV/0!</v>
      </c>
      <c r="N126" s="39" t="e">
        <f t="shared" si="26"/>
        <v>#DIV/0!</v>
      </c>
      <c r="O126" s="39" t="e">
        <f t="shared" si="19"/>
        <v>#DIV/0!</v>
      </c>
      <c r="P126" s="39" t="e">
        <f t="shared" si="19"/>
        <v>#DIV/0!</v>
      </c>
      <c r="Q126" s="39" t="e">
        <f t="shared" si="14"/>
        <v>#DIV/0!</v>
      </c>
      <c r="R126" s="39" t="e">
        <f t="shared" si="14"/>
        <v>#DIV/0!</v>
      </c>
      <c r="S126" s="39" t="e">
        <f t="shared" si="14"/>
        <v>#DIV/0!</v>
      </c>
      <c r="T126" s="39" t="e">
        <f t="shared" si="14"/>
        <v>#DIV/0!</v>
      </c>
      <c r="U126" s="39" t="e">
        <f t="shared" si="15"/>
        <v>#DIV/0!</v>
      </c>
      <c r="V126" s="39" t="e">
        <f t="shared" si="15"/>
        <v>#DIV/0!</v>
      </c>
      <c r="W126"/>
    </row>
    <row r="127" spans="1:23">
      <c r="A127" s="808" t="s">
        <v>1517</v>
      </c>
      <c r="B127" s="719">
        <v>1.4</v>
      </c>
      <c r="C127" s="739"/>
      <c r="D127" s="39" t="e">
        <f t="shared" si="30"/>
        <v>#DIV/0!</v>
      </c>
      <c r="E127" s="39" t="e">
        <f t="shared" si="30"/>
        <v>#DIV/0!</v>
      </c>
      <c r="F127" s="39" t="e">
        <f t="shared" si="30"/>
        <v>#DIV/0!</v>
      </c>
      <c r="G127" s="39" t="e">
        <f t="shared" si="30"/>
        <v>#DIV/0!</v>
      </c>
      <c r="H127" s="39" t="e">
        <f t="shared" si="18"/>
        <v>#DIV/0!</v>
      </c>
      <c r="I127" s="39" t="e">
        <f t="shared" si="18"/>
        <v>#DIV/0!</v>
      </c>
      <c r="J127" s="39">
        <v>3.95</v>
      </c>
      <c r="K127" s="39" t="e">
        <f t="shared" si="26"/>
        <v>#DIV/0!</v>
      </c>
      <c r="L127" s="39" t="e">
        <f t="shared" si="26"/>
        <v>#DIV/0!</v>
      </c>
      <c r="M127" s="39" t="e">
        <f t="shared" si="26"/>
        <v>#DIV/0!</v>
      </c>
      <c r="N127" s="39" t="e">
        <f t="shared" si="26"/>
        <v>#DIV/0!</v>
      </c>
      <c r="O127" s="39" t="e">
        <f t="shared" si="19"/>
        <v>#DIV/0!</v>
      </c>
      <c r="P127" s="39" t="e">
        <f t="shared" si="19"/>
        <v>#DIV/0!</v>
      </c>
      <c r="Q127" s="39" t="e">
        <f t="shared" si="14"/>
        <v>#DIV/0!</v>
      </c>
      <c r="R127" s="39" t="e">
        <f t="shared" si="14"/>
        <v>#DIV/0!</v>
      </c>
      <c r="S127" s="39" t="e">
        <f t="shared" si="14"/>
        <v>#DIV/0!</v>
      </c>
      <c r="T127" s="39" t="e">
        <f t="shared" si="14"/>
        <v>#DIV/0!</v>
      </c>
      <c r="U127" s="39" t="e">
        <f t="shared" si="15"/>
        <v>#DIV/0!</v>
      </c>
      <c r="V127" s="39" t="e">
        <f t="shared" si="15"/>
        <v>#DIV/0!</v>
      </c>
      <c r="W127"/>
    </row>
    <row r="128" spans="1:23">
      <c r="A128" s="808" t="s">
        <v>1518</v>
      </c>
      <c r="B128" s="719">
        <v>1.4</v>
      </c>
      <c r="C128" s="739"/>
      <c r="D128" s="39" t="e">
        <f t="shared" si="30"/>
        <v>#DIV/0!</v>
      </c>
      <c r="E128" s="39" t="e">
        <f t="shared" si="30"/>
        <v>#DIV/0!</v>
      </c>
      <c r="F128" s="39" t="e">
        <f t="shared" si="30"/>
        <v>#DIV/0!</v>
      </c>
      <c r="G128" s="39" t="e">
        <f t="shared" si="30"/>
        <v>#DIV/0!</v>
      </c>
      <c r="H128" s="39" t="e">
        <f t="shared" si="18"/>
        <v>#DIV/0!</v>
      </c>
      <c r="I128" s="39" t="e">
        <f t="shared" si="18"/>
        <v>#DIV/0!</v>
      </c>
      <c r="J128" s="39">
        <v>3.95</v>
      </c>
      <c r="K128" s="39" t="e">
        <f t="shared" si="26"/>
        <v>#DIV/0!</v>
      </c>
      <c r="L128" s="39" t="e">
        <f t="shared" si="26"/>
        <v>#DIV/0!</v>
      </c>
      <c r="M128" s="39" t="e">
        <f t="shared" si="26"/>
        <v>#DIV/0!</v>
      </c>
      <c r="N128" s="39" t="e">
        <f t="shared" si="26"/>
        <v>#DIV/0!</v>
      </c>
      <c r="O128" s="39" t="e">
        <f t="shared" si="19"/>
        <v>#DIV/0!</v>
      </c>
      <c r="P128" s="39" t="e">
        <f t="shared" si="19"/>
        <v>#DIV/0!</v>
      </c>
      <c r="Q128" s="39" t="e">
        <f t="shared" si="14"/>
        <v>#DIV/0!</v>
      </c>
      <c r="R128" s="39" t="e">
        <f t="shared" si="14"/>
        <v>#DIV/0!</v>
      </c>
      <c r="S128" s="39" t="e">
        <f t="shared" si="14"/>
        <v>#DIV/0!</v>
      </c>
      <c r="T128" s="39" t="e">
        <f t="shared" si="14"/>
        <v>#DIV/0!</v>
      </c>
      <c r="U128" s="39" t="e">
        <f t="shared" si="15"/>
        <v>#DIV/0!</v>
      </c>
      <c r="V128" s="39" t="e">
        <f t="shared" si="15"/>
        <v>#DIV/0!</v>
      </c>
      <c r="W128"/>
    </row>
    <row r="129" spans="1:23">
      <c r="A129" s="808" t="s">
        <v>1519</v>
      </c>
      <c r="B129" s="719">
        <v>1.4</v>
      </c>
      <c r="C129" s="739"/>
      <c r="D129" s="39" t="e">
        <f t="shared" si="30"/>
        <v>#DIV/0!</v>
      </c>
      <c r="E129" s="39" t="e">
        <f t="shared" si="30"/>
        <v>#DIV/0!</v>
      </c>
      <c r="F129" s="39" t="e">
        <f t="shared" si="30"/>
        <v>#DIV/0!</v>
      </c>
      <c r="G129" s="39" t="e">
        <f t="shared" si="30"/>
        <v>#DIV/0!</v>
      </c>
      <c r="H129" s="39" t="e">
        <f t="shared" si="18"/>
        <v>#DIV/0!</v>
      </c>
      <c r="I129" s="39" t="e">
        <f t="shared" si="18"/>
        <v>#DIV/0!</v>
      </c>
      <c r="J129" s="39">
        <v>3.95</v>
      </c>
      <c r="K129" s="39" t="e">
        <f t="shared" si="26"/>
        <v>#DIV/0!</v>
      </c>
      <c r="L129" s="39" t="e">
        <f t="shared" si="26"/>
        <v>#DIV/0!</v>
      </c>
      <c r="M129" s="39" t="e">
        <f t="shared" si="26"/>
        <v>#DIV/0!</v>
      </c>
      <c r="N129" s="39" t="e">
        <f t="shared" si="26"/>
        <v>#DIV/0!</v>
      </c>
      <c r="O129" s="39" t="e">
        <f t="shared" si="19"/>
        <v>#DIV/0!</v>
      </c>
      <c r="P129" s="39" t="e">
        <f t="shared" si="19"/>
        <v>#DIV/0!</v>
      </c>
      <c r="Q129" s="39" t="e">
        <f t="shared" si="14"/>
        <v>#DIV/0!</v>
      </c>
      <c r="R129" s="39" t="e">
        <f t="shared" si="14"/>
        <v>#DIV/0!</v>
      </c>
      <c r="S129" s="39" t="e">
        <f t="shared" si="14"/>
        <v>#DIV/0!</v>
      </c>
      <c r="T129" s="39" t="e">
        <f t="shared" si="14"/>
        <v>#DIV/0!</v>
      </c>
      <c r="U129" s="39" t="e">
        <f t="shared" si="15"/>
        <v>#DIV/0!</v>
      </c>
      <c r="V129" s="39" t="e">
        <f t="shared" si="15"/>
        <v>#DIV/0!</v>
      </c>
      <c r="W129"/>
    </row>
    <row r="130" spans="1:23">
      <c r="A130" s="808" t="s">
        <v>1520</v>
      </c>
      <c r="B130" s="719">
        <v>1.4</v>
      </c>
      <c r="C130" s="739"/>
      <c r="D130" s="39" t="e">
        <f t="shared" si="30"/>
        <v>#DIV/0!</v>
      </c>
      <c r="E130" s="39" t="e">
        <f t="shared" si="30"/>
        <v>#DIV/0!</v>
      </c>
      <c r="F130" s="39" t="e">
        <f t="shared" si="30"/>
        <v>#DIV/0!</v>
      </c>
      <c r="G130" s="39" t="e">
        <f t="shared" si="30"/>
        <v>#DIV/0!</v>
      </c>
      <c r="H130" s="39" t="e">
        <f t="shared" si="18"/>
        <v>#DIV/0!</v>
      </c>
      <c r="I130" s="39" t="e">
        <f t="shared" si="18"/>
        <v>#DIV/0!</v>
      </c>
      <c r="J130" s="39">
        <v>3.95</v>
      </c>
      <c r="K130" s="39" t="e">
        <f t="shared" si="26"/>
        <v>#DIV/0!</v>
      </c>
      <c r="L130" s="39" t="e">
        <f t="shared" si="26"/>
        <v>#DIV/0!</v>
      </c>
      <c r="M130" s="39" t="e">
        <f t="shared" si="26"/>
        <v>#DIV/0!</v>
      </c>
      <c r="N130" s="39" t="e">
        <f t="shared" si="26"/>
        <v>#DIV/0!</v>
      </c>
      <c r="O130" s="39" t="e">
        <f t="shared" si="19"/>
        <v>#DIV/0!</v>
      </c>
      <c r="P130" s="39" t="e">
        <f t="shared" si="19"/>
        <v>#DIV/0!</v>
      </c>
      <c r="Q130" s="39" t="e">
        <f t="shared" si="14"/>
        <v>#DIV/0!</v>
      </c>
      <c r="R130" s="39" t="e">
        <f t="shared" si="14"/>
        <v>#DIV/0!</v>
      </c>
      <c r="S130" s="39" t="e">
        <f t="shared" si="14"/>
        <v>#DIV/0!</v>
      </c>
      <c r="T130" s="39" t="e">
        <f t="shared" si="14"/>
        <v>#DIV/0!</v>
      </c>
      <c r="U130" s="39" t="e">
        <f t="shared" si="15"/>
        <v>#DIV/0!</v>
      </c>
      <c r="V130" s="39" t="e">
        <f t="shared" si="15"/>
        <v>#DIV/0!</v>
      </c>
      <c r="W130"/>
    </row>
    <row r="131" spans="1:23">
      <c r="A131" s="809" t="s">
        <v>1528</v>
      </c>
      <c r="B131" s="719">
        <v>1.4</v>
      </c>
      <c r="C131" s="739"/>
      <c r="D131" s="39" t="e">
        <f t="shared" si="30"/>
        <v>#DIV/0!</v>
      </c>
      <c r="E131" s="39" t="e">
        <f t="shared" si="30"/>
        <v>#DIV/0!</v>
      </c>
      <c r="F131" s="39" t="e">
        <f t="shared" si="30"/>
        <v>#DIV/0!</v>
      </c>
      <c r="G131" s="39" t="e">
        <f t="shared" si="30"/>
        <v>#DIV/0!</v>
      </c>
      <c r="H131" s="39" t="e">
        <f t="shared" si="18"/>
        <v>#DIV/0!</v>
      </c>
      <c r="I131" s="39" t="e">
        <f t="shared" si="18"/>
        <v>#DIV/0!</v>
      </c>
      <c r="J131" s="39">
        <v>2.5</v>
      </c>
      <c r="K131" s="39" t="e">
        <f t="shared" si="26"/>
        <v>#DIV/0!</v>
      </c>
      <c r="L131" s="39" t="e">
        <f t="shared" si="26"/>
        <v>#DIV/0!</v>
      </c>
      <c r="M131" s="39" t="e">
        <f t="shared" si="26"/>
        <v>#DIV/0!</v>
      </c>
      <c r="N131" s="39" t="e">
        <f t="shared" si="26"/>
        <v>#DIV/0!</v>
      </c>
      <c r="O131" s="39" t="e">
        <f t="shared" si="19"/>
        <v>#DIV/0!</v>
      </c>
      <c r="P131" s="39" t="e">
        <f t="shared" si="19"/>
        <v>#DIV/0!</v>
      </c>
      <c r="Q131" s="39" t="e">
        <f t="shared" si="14"/>
        <v>#DIV/0!</v>
      </c>
      <c r="R131" s="39" t="e">
        <f t="shared" si="14"/>
        <v>#DIV/0!</v>
      </c>
      <c r="S131" s="39" t="e">
        <f t="shared" si="14"/>
        <v>#DIV/0!</v>
      </c>
      <c r="T131" s="39" t="e">
        <f t="shared" si="14"/>
        <v>#DIV/0!</v>
      </c>
      <c r="U131" s="39" t="e">
        <f t="shared" si="15"/>
        <v>#DIV/0!</v>
      </c>
      <c r="V131" s="39" t="e">
        <f t="shared" si="15"/>
        <v>#DIV/0!</v>
      </c>
      <c r="W131"/>
    </row>
    <row r="132" spans="1:23">
      <c r="A132" s="809" t="s">
        <v>1529</v>
      </c>
      <c r="B132" s="719">
        <v>1.4</v>
      </c>
      <c r="C132" s="739"/>
      <c r="D132" s="39" t="e">
        <f t="shared" si="30"/>
        <v>#DIV/0!</v>
      </c>
      <c r="E132" s="39" t="e">
        <f t="shared" si="30"/>
        <v>#DIV/0!</v>
      </c>
      <c r="F132" s="39" t="e">
        <f t="shared" si="30"/>
        <v>#DIV/0!</v>
      </c>
      <c r="G132" s="39" t="e">
        <f t="shared" si="30"/>
        <v>#DIV/0!</v>
      </c>
      <c r="H132" s="39" t="e">
        <f t="shared" si="18"/>
        <v>#DIV/0!</v>
      </c>
      <c r="I132" s="39" t="e">
        <f t="shared" si="18"/>
        <v>#DIV/0!</v>
      </c>
      <c r="J132" s="39">
        <v>2.5</v>
      </c>
      <c r="K132" s="39" t="e">
        <f t="shared" si="26"/>
        <v>#DIV/0!</v>
      </c>
      <c r="L132" s="39" t="e">
        <f t="shared" si="26"/>
        <v>#DIV/0!</v>
      </c>
      <c r="M132" s="39" t="e">
        <f t="shared" si="26"/>
        <v>#DIV/0!</v>
      </c>
      <c r="N132" s="39" t="e">
        <f t="shared" si="26"/>
        <v>#DIV/0!</v>
      </c>
      <c r="O132" s="39" t="e">
        <f t="shared" si="19"/>
        <v>#DIV/0!</v>
      </c>
      <c r="P132" s="39" t="e">
        <f t="shared" si="19"/>
        <v>#DIV/0!</v>
      </c>
      <c r="Q132" s="39" t="e">
        <f t="shared" si="14"/>
        <v>#DIV/0!</v>
      </c>
      <c r="R132" s="39" t="e">
        <f t="shared" si="14"/>
        <v>#DIV/0!</v>
      </c>
      <c r="S132" s="39" t="e">
        <f t="shared" si="14"/>
        <v>#DIV/0!</v>
      </c>
      <c r="T132" s="39" t="e">
        <f t="shared" si="14"/>
        <v>#DIV/0!</v>
      </c>
      <c r="U132" s="39" t="e">
        <f t="shared" si="15"/>
        <v>#DIV/0!</v>
      </c>
      <c r="V132" s="39" t="e">
        <f t="shared" si="15"/>
        <v>#DIV/0!</v>
      </c>
      <c r="W132"/>
    </row>
    <row r="133" spans="1:23">
      <c r="A133" s="809" t="s">
        <v>1530</v>
      </c>
      <c r="B133" s="719">
        <v>1.4</v>
      </c>
      <c r="C133" s="739"/>
      <c r="D133" s="39" t="e">
        <f t="shared" si="30"/>
        <v>#DIV/0!</v>
      </c>
      <c r="E133" s="39" t="e">
        <f t="shared" si="30"/>
        <v>#DIV/0!</v>
      </c>
      <c r="F133" s="39" t="e">
        <f t="shared" si="30"/>
        <v>#DIV/0!</v>
      </c>
      <c r="G133" s="39" t="e">
        <f t="shared" si="30"/>
        <v>#DIV/0!</v>
      </c>
      <c r="H133" s="39" t="e">
        <f t="shared" si="18"/>
        <v>#DIV/0!</v>
      </c>
      <c r="I133" s="39" t="e">
        <f t="shared" si="18"/>
        <v>#DIV/0!</v>
      </c>
      <c r="J133" s="39">
        <v>2.5</v>
      </c>
      <c r="K133" s="39" t="e">
        <f t="shared" si="26"/>
        <v>#DIV/0!</v>
      </c>
      <c r="L133" s="39" t="e">
        <f t="shared" si="26"/>
        <v>#DIV/0!</v>
      </c>
      <c r="M133" s="39" t="e">
        <f t="shared" si="26"/>
        <v>#DIV/0!</v>
      </c>
      <c r="N133" s="39" t="e">
        <f t="shared" si="26"/>
        <v>#DIV/0!</v>
      </c>
      <c r="O133" s="39" t="e">
        <f t="shared" si="19"/>
        <v>#DIV/0!</v>
      </c>
      <c r="P133" s="39" t="e">
        <f t="shared" si="19"/>
        <v>#DIV/0!</v>
      </c>
      <c r="Q133" s="39" t="e">
        <f t="shared" si="14"/>
        <v>#DIV/0!</v>
      </c>
      <c r="R133" s="39" t="e">
        <f t="shared" si="14"/>
        <v>#DIV/0!</v>
      </c>
      <c r="S133" s="39" t="e">
        <f t="shared" si="14"/>
        <v>#DIV/0!</v>
      </c>
      <c r="T133" s="39" t="e">
        <f t="shared" si="14"/>
        <v>#DIV/0!</v>
      </c>
      <c r="U133" s="39" t="e">
        <f t="shared" si="15"/>
        <v>#DIV/0!</v>
      </c>
      <c r="V133" s="39" t="e">
        <f t="shared" si="15"/>
        <v>#DIV/0!</v>
      </c>
      <c r="W133"/>
    </row>
    <row r="134" spans="1:23">
      <c r="A134" s="809" t="s">
        <v>1531</v>
      </c>
      <c r="B134" s="719">
        <v>1.4</v>
      </c>
      <c r="C134" s="739"/>
      <c r="D134" s="39" t="e">
        <f t="shared" si="30"/>
        <v>#DIV/0!</v>
      </c>
      <c r="E134" s="39" t="e">
        <f t="shared" si="30"/>
        <v>#DIV/0!</v>
      </c>
      <c r="F134" s="39" t="e">
        <f t="shared" si="30"/>
        <v>#DIV/0!</v>
      </c>
      <c r="G134" s="39" t="e">
        <f t="shared" si="30"/>
        <v>#DIV/0!</v>
      </c>
      <c r="H134" s="39" t="e">
        <f t="shared" si="18"/>
        <v>#DIV/0!</v>
      </c>
      <c r="I134" s="39" t="e">
        <f t="shared" si="18"/>
        <v>#DIV/0!</v>
      </c>
      <c r="J134" s="39">
        <v>2.5</v>
      </c>
      <c r="K134" s="39" t="e">
        <f t="shared" si="26"/>
        <v>#DIV/0!</v>
      </c>
      <c r="L134" s="39" t="e">
        <f t="shared" si="26"/>
        <v>#DIV/0!</v>
      </c>
      <c r="M134" s="39" t="e">
        <f t="shared" si="26"/>
        <v>#DIV/0!</v>
      </c>
      <c r="N134" s="39" t="e">
        <f t="shared" si="26"/>
        <v>#DIV/0!</v>
      </c>
      <c r="O134" s="39" t="e">
        <f t="shared" si="19"/>
        <v>#DIV/0!</v>
      </c>
      <c r="P134" s="39" t="e">
        <f t="shared" si="19"/>
        <v>#DIV/0!</v>
      </c>
      <c r="Q134" s="39" t="e">
        <f t="shared" si="14"/>
        <v>#DIV/0!</v>
      </c>
      <c r="R134" s="39" t="e">
        <f t="shared" si="14"/>
        <v>#DIV/0!</v>
      </c>
      <c r="S134" s="39" t="e">
        <f t="shared" si="14"/>
        <v>#DIV/0!</v>
      </c>
      <c r="T134" s="39" t="e">
        <f t="shared" si="14"/>
        <v>#DIV/0!</v>
      </c>
      <c r="U134" s="39" t="e">
        <f t="shared" si="15"/>
        <v>#DIV/0!</v>
      </c>
      <c r="V134" s="39" t="e">
        <f t="shared" si="15"/>
        <v>#DIV/0!</v>
      </c>
      <c r="W134"/>
    </row>
    <row r="135" spans="1:23" s="39" customFormat="1">
      <c r="A135" s="808" t="s">
        <v>1521</v>
      </c>
      <c r="B135" s="719">
        <v>1.4</v>
      </c>
      <c r="C135" s="739"/>
      <c r="D135" s="39" t="e">
        <f t="shared" ref="D135:G138" si="31">1/0</f>
        <v>#DIV/0!</v>
      </c>
      <c r="E135" s="39" t="e">
        <f t="shared" si="31"/>
        <v>#DIV/0!</v>
      </c>
      <c r="F135" s="39" t="e">
        <f t="shared" si="31"/>
        <v>#DIV/0!</v>
      </c>
      <c r="G135" s="39" t="e">
        <f t="shared" si="31"/>
        <v>#DIV/0!</v>
      </c>
      <c r="H135" s="39" t="e">
        <f t="shared" si="18"/>
        <v>#DIV/0!</v>
      </c>
      <c r="I135" s="39" t="e">
        <f t="shared" si="18"/>
        <v>#DIV/0!</v>
      </c>
      <c r="J135" s="39">
        <v>3.25</v>
      </c>
      <c r="K135" s="39" t="e">
        <f t="shared" si="26"/>
        <v>#DIV/0!</v>
      </c>
      <c r="L135" s="39" t="e">
        <f t="shared" si="26"/>
        <v>#DIV/0!</v>
      </c>
      <c r="M135" s="39" t="e">
        <f t="shared" si="26"/>
        <v>#DIV/0!</v>
      </c>
      <c r="N135" s="39" t="e">
        <f t="shared" si="26"/>
        <v>#DIV/0!</v>
      </c>
      <c r="O135" s="39" t="e">
        <f t="shared" si="19"/>
        <v>#DIV/0!</v>
      </c>
      <c r="P135" s="39" t="e">
        <f t="shared" si="19"/>
        <v>#DIV/0!</v>
      </c>
      <c r="Q135" s="39" t="e">
        <f t="shared" si="19"/>
        <v>#DIV/0!</v>
      </c>
      <c r="R135" s="39" t="e">
        <f t="shared" si="19"/>
        <v>#DIV/0!</v>
      </c>
      <c r="S135" s="39" t="e">
        <f t="shared" si="19"/>
        <v>#DIV/0!</v>
      </c>
      <c r="T135" s="39" t="e">
        <f t="shared" si="19"/>
        <v>#DIV/0!</v>
      </c>
      <c r="U135" s="39" t="e">
        <f t="shared" si="15"/>
        <v>#DIV/0!</v>
      </c>
      <c r="V135" s="39" t="e">
        <f t="shared" si="15"/>
        <v>#DIV/0!</v>
      </c>
    </row>
    <row r="136" spans="1:23" s="39" customFormat="1">
      <c r="A136" s="808" t="s">
        <v>1522</v>
      </c>
      <c r="B136" s="719">
        <v>1.4</v>
      </c>
      <c r="C136" s="739"/>
      <c r="D136" s="39" t="e">
        <f t="shared" si="31"/>
        <v>#DIV/0!</v>
      </c>
      <c r="E136" s="39" t="e">
        <f t="shared" si="31"/>
        <v>#DIV/0!</v>
      </c>
      <c r="F136" s="39" t="e">
        <f t="shared" si="31"/>
        <v>#DIV/0!</v>
      </c>
      <c r="G136" s="39" t="e">
        <f t="shared" si="31"/>
        <v>#DIV/0!</v>
      </c>
      <c r="H136" s="39" t="e">
        <f t="shared" si="18"/>
        <v>#DIV/0!</v>
      </c>
      <c r="I136" s="39" t="e">
        <f t="shared" si="18"/>
        <v>#DIV/0!</v>
      </c>
      <c r="J136" s="39">
        <v>3.25</v>
      </c>
      <c r="K136" s="39" t="e">
        <f t="shared" ref="K136:N138" si="32">1/0</f>
        <v>#DIV/0!</v>
      </c>
      <c r="L136" s="39" t="e">
        <f t="shared" si="32"/>
        <v>#DIV/0!</v>
      </c>
      <c r="M136" s="39" t="e">
        <f t="shared" si="32"/>
        <v>#DIV/0!</v>
      </c>
      <c r="N136" s="39" t="e">
        <f t="shared" si="32"/>
        <v>#DIV/0!</v>
      </c>
      <c r="O136" s="39" t="e">
        <f t="shared" si="19"/>
        <v>#DIV/0!</v>
      </c>
      <c r="P136" s="39" t="e">
        <f t="shared" si="19"/>
        <v>#DIV/0!</v>
      </c>
      <c r="Q136" s="39" t="e">
        <f t="shared" si="19"/>
        <v>#DIV/0!</v>
      </c>
      <c r="R136" s="39" t="e">
        <f t="shared" si="19"/>
        <v>#DIV/0!</v>
      </c>
      <c r="S136" s="39" t="e">
        <f t="shared" si="19"/>
        <v>#DIV/0!</v>
      </c>
      <c r="T136" s="39" t="e">
        <f t="shared" si="19"/>
        <v>#DIV/0!</v>
      </c>
      <c r="U136" s="39" t="e">
        <f t="shared" si="15"/>
        <v>#DIV/0!</v>
      </c>
      <c r="V136" s="39" t="e">
        <f t="shared" si="15"/>
        <v>#DIV/0!</v>
      </c>
    </row>
    <row r="137" spans="1:23" s="39" customFormat="1">
      <c r="A137" s="808" t="s">
        <v>1523</v>
      </c>
      <c r="B137" s="719">
        <v>1.4</v>
      </c>
      <c r="C137" s="739"/>
      <c r="D137" s="39" t="e">
        <f t="shared" si="31"/>
        <v>#DIV/0!</v>
      </c>
      <c r="E137" s="39" t="e">
        <f t="shared" si="31"/>
        <v>#DIV/0!</v>
      </c>
      <c r="F137" s="39" t="e">
        <f t="shared" si="31"/>
        <v>#DIV/0!</v>
      </c>
      <c r="G137" s="39" t="e">
        <f t="shared" si="31"/>
        <v>#DIV/0!</v>
      </c>
      <c r="H137" s="39" t="e">
        <f t="shared" si="18"/>
        <v>#DIV/0!</v>
      </c>
      <c r="I137" s="39" t="e">
        <f t="shared" si="18"/>
        <v>#DIV/0!</v>
      </c>
      <c r="J137" s="39">
        <v>3.25</v>
      </c>
      <c r="K137" s="39" t="e">
        <f t="shared" si="32"/>
        <v>#DIV/0!</v>
      </c>
      <c r="L137" s="39" t="e">
        <f t="shared" si="32"/>
        <v>#DIV/0!</v>
      </c>
      <c r="M137" s="39" t="e">
        <f t="shared" si="32"/>
        <v>#DIV/0!</v>
      </c>
      <c r="N137" s="39" t="e">
        <f t="shared" si="32"/>
        <v>#DIV/0!</v>
      </c>
      <c r="O137" s="39" t="e">
        <f t="shared" si="19"/>
        <v>#DIV/0!</v>
      </c>
      <c r="P137" s="39" t="e">
        <f t="shared" si="19"/>
        <v>#DIV/0!</v>
      </c>
      <c r="Q137" s="39" t="e">
        <f t="shared" si="19"/>
        <v>#DIV/0!</v>
      </c>
      <c r="R137" s="39" t="e">
        <f t="shared" si="19"/>
        <v>#DIV/0!</v>
      </c>
      <c r="S137" s="39" t="e">
        <f t="shared" si="19"/>
        <v>#DIV/0!</v>
      </c>
      <c r="T137" s="39" t="e">
        <f t="shared" si="19"/>
        <v>#DIV/0!</v>
      </c>
      <c r="U137" s="39" t="e">
        <f t="shared" si="15"/>
        <v>#DIV/0!</v>
      </c>
      <c r="V137" s="39" t="e">
        <f t="shared" si="15"/>
        <v>#DIV/0!</v>
      </c>
    </row>
    <row r="138" spans="1:23" s="39" customFormat="1" ht="15.75" thickBot="1">
      <c r="A138" s="808" t="s">
        <v>1524</v>
      </c>
      <c r="B138" s="719">
        <v>1.4</v>
      </c>
      <c r="C138" s="739"/>
      <c r="D138" s="39" t="e">
        <f t="shared" si="31"/>
        <v>#DIV/0!</v>
      </c>
      <c r="E138" s="39" t="e">
        <f t="shared" si="31"/>
        <v>#DIV/0!</v>
      </c>
      <c r="F138" s="39" t="e">
        <f t="shared" si="31"/>
        <v>#DIV/0!</v>
      </c>
      <c r="G138" s="39" t="e">
        <f t="shared" si="31"/>
        <v>#DIV/0!</v>
      </c>
      <c r="H138" s="39" t="e">
        <f t="shared" si="18"/>
        <v>#DIV/0!</v>
      </c>
      <c r="I138" s="39" t="e">
        <f t="shared" si="18"/>
        <v>#DIV/0!</v>
      </c>
      <c r="J138" s="39">
        <v>3.25</v>
      </c>
      <c r="K138" s="39" t="e">
        <f t="shared" si="32"/>
        <v>#DIV/0!</v>
      </c>
      <c r="L138" s="39" t="e">
        <f t="shared" si="32"/>
        <v>#DIV/0!</v>
      </c>
      <c r="M138" s="39" t="e">
        <f t="shared" si="32"/>
        <v>#DIV/0!</v>
      </c>
      <c r="N138" s="39" t="e">
        <f t="shared" si="32"/>
        <v>#DIV/0!</v>
      </c>
      <c r="O138" s="39" t="e">
        <f t="shared" si="19"/>
        <v>#DIV/0!</v>
      </c>
      <c r="P138" s="39" t="e">
        <f t="shared" si="19"/>
        <v>#DIV/0!</v>
      </c>
      <c r="Q138" s="39" t="e">
        <f t="shared" si="19"/>
        <v>#DIV/0!</v>
      </c>
      <c r="R138" s="39" t="e">
        <f t="shared" si="19"/>
        <v>#DIV/0!</v>
      </c>
      <c r="S138" s="39" t="e">
        <f t="shared" si="19"/>
        <v>#DIV/0!</v>
      </c>
      <c r="T138" s="39" t="e">
        <f t="shared" si="19"/>
        <v>#DIV/0!</v>
      </c>
      <c r="U138" s="39" t="e">
        <f t="shared" si="15"/>
        <v>#DIV/0!</v>
      </c>
      <c r="V138" s="39" t="e">
        <f t="shared" si="15"/>
        <v>#DIV/0!</v>
      </c>
    </row>
    <row r="139" spans="1:23">
      <c r="B139" s="717"/>
      <c r="C139" s="739"/>
      <c r="D139" s="39" t="e">
        <f t="shared" si="30"/>
        <v>#DIV/0!</v>
      </c>
      <c r="E139" s="39" t="e">
        <f t="shared" si="30"/>
        <v>#DIV/0!</v>
      </c>
      <c r="F139" s="39" t="e">
        <f t="shared" si="30"/>
        <v>#DIV/0!</v>
      </c>
      <c r="G139" s="39" t="e">
        <f t="shared" si="30"/>
        <v>#DIV/0!</v>
      </c>
      <c r="H139" s="39" t="e">
        <f t="shared" si="18"/>
        <v>#DIV/0!</v>
      </c>
      <c r="I139" s="39" t="e">
        <f t="shared" si="18"/>
        <v>#DIV/0!</v>
      </c>
      <c r="J139" s="39" t="e">
        <f t="shared" si="18"/>
        <v>#DIV/0!</v>
      </c>
      <c r="K139" s="39" t="e">
        <f t="shared" ref="K139:T155" si="33">1/0</f>
        <v>#DIV/0!</v>
      </c>
      <c r="L139" s="39" t="e">
        <f t="shared" si="33"/>
        <v>#DIV/0!</v>
      </c>
      <c r="M139" s="39" t="e">
        <f t="shared" si="33"/>
        <v>#DIV/0!</v>
      </c>
      <c r="N139" s="39" t="e">
        <f t="shared" si="33"/>
        <v>#DIV/0!</v>
      </c>
      <c r="O139" s="39" t="e">
        <f t="shared" si="19"/>
        <v>#DIV/0!</v>
      </c>
      <c r="P139" s="39" t="e">
        <f t="shared" si="19"/>
        <v>#DIV/0!</v>
      </c>
      <c r="Q139" s="39" t="e">
        <f t="shared" si="14"/>
        <v>#DIV/0!</v>
      </c>
      <c r="R139" s="39" t="e">
        <f t="shared" si="14"/>
        <v>#DIV/0!</v>
      </c>
      <c r="S139" s="39" t="e">
        <f t="shared" si="14"/>
        <v>#DIV/0!</v>
      </c>
      <c r="T139" s="39" t="e">
        <f t="shared" si="14"/>
        <v>#DIV/0!</v>
      </c>
      <c r="U139" s="39" t="e">
        <f t="shared" si="15"/>
        <v>#DIV/0!</v>
      </c>
      <c r="V139" s="39" t="e">
        <f t="shared" si="15"/>
        <v>#DIV/0!</v>
      </c>
      <c r="W139"/>
    </row>
    <row r="140" spans="1:23" s="39" customFormat="1">
      <c r="A140" s="808" t="s">
        <v>1534</v>
      </c>
      <c r="B140" s="718">
        <v>1.4</v>
      </c>
      <c r="C140" s="739"/>
      <c r="D140" s="39" t="e">
        <f t="shared" ref="D140:G140" si="34">1/0</f>
        <v>#DIV/0!</v>
      </c>
      <c r="E140" s="39" t="e">
        <f t="shared" si="34"/>
        <v>#DIV/0!</v>
      </c>
      <c r="F140" s="39" t="e">
        <f t="shared" si="34"/>
        <v>#DIV/0!</v>
      </c>
      <c r="G140" s="39" t="e">
        <f t="shared" si="34"/>
        <v>#DIV/0!</v>
      </c>
      <c r="H140" s="39" t="e">
        <f t="shared" si="18"/>
        <v>#DIV/0!</v>
      </c>
      <c r="I140" s="39" t="e">
        <f t="shared" si="18"/>
        <v>#DIV/0!</v>
      </c>
      <c r="J140" s="39" t="e">
        <f t="shared" si="18"/>
        <v>#DIV/0!</v>
      </c>
      <c r="K140" s="39">
        <v>3.9</v>
      </c>
      <c r="L140" s="39" t="e">
        <f t="shared" si="33"/>
        <v>#DIV/0!</v>
      </c>
      <c r="M140" s="39" t="e">
        <f t="shared" si="33"/>
        <v>#DIV/0!</v>
      </c>
      <c r="N140" s="39" t="e">
        <f t="shared" si="33"/>
        <v>#DIV/0!</v>
      </c>
      <c r="O140" s="39" t="e">
        <f t="shared" si="33"/>
        <v>#DIV/0!</v>
      </c>
      <c r="P140" s="39" t="e">
        <f t="shared" si="33"/>
        <v>#DIV/0!</v>
      </c>
      <c r="Q140" s="39" t="e">
        <f t="shared" si="33"/>
        <v>#DIV/0!</v>
      </c>
      <c r="R140" s="39" t="e">
        <f t="shared" si="33"/>
        <v>#DIV/0!</v>
      </c>
      <c r="S140" s="39" t="e">
        <f t="shared" si="33"/>
        <v>#DIV/0!</v>
      </c>
      <c r="T140" s="39" t="e">
        <f t="shared" si="33"/>
        <v>#DIV/0!</v>
      </c>
      <c r="U140" s="39" t="e">
        <f t="shared" si="15"/>
        <v>#DIV/0!</v>
      </c>
      <c r="V140" s="39" t="e">
        <f t="shared" si="15"/>
        <v>#DIV/0!</v>
      </c>
    </row>
    <row r="141" spans="1:23">
      <c r="A141" s="808" t="s">
        <v>1535</v>
      </c>
      <c r="B141" s="718">
        <v>1.4</v>
      </c>
      <c r="C141" s="739"/>
      <c r="D141" s="39" t="e">
        <f t="shared" si="30"/>
        <v>#DIV/0!</v>
      </c>
      <c r="E141" s="39" t="e">
        <f t="shared" si="30"/>
        <v>#DIV/0!</v>
      </c>
      <c r="F141" s="39" t="e">
        <f t="shared" si="30"/>
        <v>#DIV/0!</v>
      </c>
      <c r="G141" s="39" t="e">
        <f t="shared" si="30"/>
        <v>#DIV/0!</v>
      </c>
      <c r="H141" s="39" t="e">
        <f t="shared" si="18"/>
        <v>#DIV/0!</v>
      </c>
      <c r="I141" s="39" t="e">
        <f t="shared" si="18"/>
        <v>#DIV/0!</v>
      </c>
      <c r="J141" s="39" t="e">
        <f t="shared" si="18"/>
        <v>#DIV/0!</v>
      </c>
      <c r="K141" s="39">
        <v>3.9</v>
      </c>
      <c r="L141" s="39" t="e">
        <f t="shared" si="33"/>
        <v>#DIV/0!</v>
      </c>
      <c r="M141" s="39" t="e">
        <f t="shared" si="33"/>
        <v>#DIV/0!</v>
      </c>
      <c r="N141" s="39" t="e">
        <f t="shared" si="33"/>
        <v>#DIV/0!</v>
      </c>
      <c r="O141" s="39" t="e">
        <f t="shared" si="19"/>
        <v>#DIV/0!</v>
      </c>
      <c r="P141" s="39" t="e">
        <f t="shared" si="19"/>
        <v>#DIV/0!</v>
      </c>
      <c r="Q141" s="39" t="e">
        <f t="shared" si="14"/>
        <v>#DIV/0!</v>
      </c>
      <c r="R141" s="39" t="e">
        <f t="shared" si="14"/>
        <v>#DIV/0!</v>
      </c>
      <c r="S141" s="39" t="e">
        <f t="shared" si="14"/>
        <v>#DIV/0!</v>
      </c>
      <c r="T141" s="39" t="e">
        <f t="shared" si="14"/>
        <v>#DIV/0!</v>
      </c>
      <c r="U141" s="39" t="e">
        <f t="shared" si="15"/>
        <v>#DIV/0!</v>
      </c>
      <c r="V141" s="39" t="e">
        <f t="shared" si="15"/>
        <v>#DIV/0!</v>
      </c>
      <c r="W141"/>
    </row>
    <row r="142" spans="1:23">
      <c r="A142" s="808" t="s">
        <v>1536</v>
      </c>
      <c r="B142" s="718">
        <v>1.4</v>
      </c>
      <c r="C142" s="739"/>
      <c r="D142" s="39" t="e">
        <f t="shared" si="30"/>
        <v>#DIV/0!</v>
      </c>
      <c r="E142" s="39" t="e">
        <f t="shared" si="30"/>
        <v>#DIV/0!</v>
      </c>
      <c r="F142" s="39" t="e">
        <f t="shared" si="30"/>
        <v>#DIV/0!</v>
      </c>
      <c r="G142" s="39" t="e">
        <f t="shared" si="30"/>
        <v>#DIV/0!</v>
      </c>
      <c r="H142" s="39" t="e">
        <f t="shared" si="18"/>
        <v>#DIV/0!</v>
      </c>
      <c r="I142" s="39" t="e">
        <f t="shared" si="18"/>
        <v>#DIV/0!</v>
      </c>
      <c r="J142" s="39" t="e">
        <f t="shared" si="18"/>
        <v>#DIV/0!</v>
      </c>
      <c r="K142" s="39">
        <v>3.9</v>
      </c>
      <c r="L142" s="39" t="e">
        <f t="shared" si="33"/>
        <v>#DIV/0!</v>
      </c>
      <c r="M142" s="39" t="e">
        <f t="shared" si="33"/>
        <v>#DIV/0!</v>
      </c>
      <c r="N142" s="39" t="e">
        <f t="shared" si="33"/>
        <v>#DIV/0!</v>
      </c>
      <c r="O142" s="39" t="e">
        <f t="shared" si="19"/>
        <v>#DIV/0!</v>
      </c>
      <c r="P142" s="39" t="e">
        <f t="shared" si="19"/>
        <v>#DIV/0!</v>
      </c>
      <c r="Q142" s="39" t="e">
        <f t="shared" si="14"/>
        <v>#DIV/0!</v>
      </c>
      <c r="R142" s="39" t="e">
        <f t="shared" si="14"/>
        <v>#DIV/0!</v>
      </c>
      <c r="S142" s="39" t="e">
        <f t="shared" si="14"/>
        <v>#DIV/0!</v>
      </c>
      <c r="T142" s="39" t="e">
        <f t="shared" si="14"/>
        <v>#DIV/0!</v>
      </c>
      <c r="U142" s="39" t="e">
        <f t="shared" si="15"/>
        <v>#DIV/0!</v>
      </c>
      <c r="V142" s="39" t="e">
        <f t="shared" si="15"/>
        <v>#DIV/0!</v>
      </c>
      <c r="W142"/>
    </row>
    <row r="143" spans="1:23">
      <c r="A143" s="808" t="s">
        <v>1537</v>
      </c>
      <c r="B143" s="718">
        <v>1.4</v>
      </c>
      <c r="C143" s="739"/>
      <c r="D143" s="39" t="e">
        <f t="shared" si="30"/>
        <v>#DIV/0!</v>
      </c>
      <c r="E143" s="39" t="e">
        <f t="shared" si="30"/>
        <v>#DIV/0!</v>
      </c>
      <c r="F143" s="39" t="e">
        <f t="shared" si="30"/>
        <v>#DIV/0!</v>
      </c>
      <c r="G143" s="39" t="e">
        <f t="shared" si="30"/>
        <v>#DIV/0!</v>
      </c>
      <c r="H143" s="39" t="e">
        <f t="shared" si="18"/>
        <v>#DIV/0!</v>
      </c>
      <c r="I143" s="39" t="e">
        <f t="shared" si="18"/>
        <v>#DIV/0!</v>
      </c>
      <c r="J143" s="39" t="e">
        <f t="shared" si="18"/>
        <v>#DIV/0!</v>
      </c>
      <c r="K143" s="39">
        <v>3.9</v>
      </c>
      <c r="L143" s="39" t="e">
        <f t="shared" si="33"/>
        <v>#DIV/0!</v>
      </c>
      <c r="M143" s="39" t="e">
        <f t="shared" si="33"/>
        <v>#DIV/0!</v>
      </c>
      <c r="N143" s="39" t="e">
        <f t="shared" si="33"/>
        <v>#DIV/0!</v>
      </c>
      <c r="O143" s="39" t="e">
        <f t="shared" si="19"/>
        <v>#DIV/0!</v>
      </c>
      <c r="P143" s="39" t="e">
        <f t="shared" si="19"/>
        <v>#DIV/0!</v>
      </c>
      <c r="Q143" s="39" t="e">
        <f t="shared" si="14"/>
        <v>#DIV/0!</v>
      </c>
      <c r="R143" s="39" t="e">
        <f t="shared" si="14"/>
        <v>#DIV/0!</v>
      </c>
      <c r="S143" s="39" t="e">
        <f t="shared" si="14"/>
        <v>#DIV/0!</v>
      </c>
      <c r="T143" s="39" t="e">
        <f t="shared" si="14"/>
        <v>#DIV/0!</v>
      </c>
      <c r="U143" s="39" t="e">
        <f t="shared" si="15"/>
        <v>#DIV/0!</v>
      </c>
      <c r="V143" s="39" t="e">
        <f t="shared" si="15"/>
        <v>#DIV/0!</v>
      </c>
      <c r="W143"/>
    </row>
    <row r="144" spans="1:23">
      <c r="A144" s="811" t="s">
        <v>1561</v>
      </c>
      <c r="B144" s="718">
        <v>1.4</v>
      </c>
      <c r="C144" s="739"/>
      <c r="D144" s="39" t="e">
        <f t="shared" si="30"/>
        <v>#DIV/0!</v>
      </c>
      <c r="E144" s="39" t="e">
        <f t="shared" si="30"/>
        <v>#DIV/0!</v>
      </c>
      <c r="F144" s="39" t="e">
        <f t="shared" si="30"/>
        <v>#DIV/0!</v>
      </c>
      <c r="G144" s="39" t="e">
        <f t="shared" si="30"/>
        <v>#DIV/0!</v>
      </c>
      <c r="H144" s="39" t="e">
        <f t="shared" si="18"/>
        <v>#DIV/0!</v>
      </c>
      <c r="I144" s="39" t="e">
        <f t="shared" si="18"/>
        <v>#DIV/0!</v>
      </c>
      <c r="J144" s="39" t="e">
        <f t="shared" si="18"/>
        <v>#DIV/0!</v>
      </c>
      <c r="K144" s="39">
        <v>2.9</v>
      </c>
      <c r="L144" s="39" t="e">
        <f t="shared" si="33"/>
        <v>#DIV/0!</v>
      </c>
      <c r="M144" s="39" t="e">
        <f t="shared" si="33"/>
        <v>#DIV/0!</v>
      </c>
      <c r="N144" s="39" t="e">
        <f t="shared" si="33"/>
        <v>#DIV/0!</v>
      </c>
      <c r="O144" s="39" t="e">
        <f t="shared" si="19"/>
        <v>#DIV/0!</v>
      </c>
      <c r="P144" s="39" t="e">
        <f t="shared" si="19"/>
        <v>#DIV/0!</v>
      </c>
      <c r="Q144" s="39" t="e">
        <f t="shared" si="14"/>
        <v>#DIV/0!</v>
      </c>
      <c r="R144" s="39" t="e">
        <f t="shared" si="14"/>
        <v>#DIV/0!</v>
      </c>
      <c r="S144" s="39" t="e">
        <f t="shared" si="14"/>
        <v>#DIV/0!</v>
      </c>
      <c r="T144" s="39" t="e">
        <f t="shared" si="14"/>
        <v>#DIV/0!</v>
      </c>
      <c r="U144" s="39" t="e">
        <f t="shared" si="15"/>
        <v>#DIV/0!</v>
      </c>
      <c r="V144" s="39" t="e">
        <f t="shared" si="15"/>
        <v>#DIV/0!</v>
      </c>
      <c r="W144"/>
    </row>
    <row r="145" spans="1:23">
      <c r="A145" s="808" t="s">
        <v>1538</v>
      </c>
      <c r="B145" s="718">
        <v>1.4</v>
      </c>
      <c r="C145" s="739"/>
      <c r="D145" s="39" t="e">
        <f t="shared" si="30"/>
        <v>#DIV/0!</v>
      </c>
      <c r="E145" s="39" t="e">
        <f t="shared" si="30"/>
        <v>#DIV/0!</v>
      </c>
      <c r="F145" s="39" t="e">
        <f t="shared" si="30"/>
        <v>#DIV/0!</v>
      </c>
      <c r="G145" s="39" t="e">
        <f t="shared" si="30"/>
        <v>#DIV/0!</v>
      </c>
      <c r="H145" s="39" t="e">
        <f t="shared" si="18"/>
        <v>#DIV/0!</v>
      </c>
      <c r="I145" s="39" t="e">
        <f t="shared" si="18"/>
        <v>#DIV/0!</v>
      </c>
      <c r="J145" s="39" t="e">
        <f t="shared" si="18"/>
        <v>#DIV/0!</v>
      </c>
      <c r="K145" s="39">
        <v>3.9</v>
      </c>
      <c r="L145" s="39" t="e">
        <f t="shared" si="33"/>
        <v>#DIV/0!</v>
      </c>
      <c r="M145" s="39" t="e">
        <f t="shared" si="33"/>
        <v>#DIV/0!</v>
      </c>
      <c r="N145" s="39" t="e">
        <f t="shared" si="33"/>
        <v>#DIV/0!</v>
      </c>
      <c r="O145" s="39" t="e">
        <f t="shared" si="19"/>
        <v>#DIV/0!</v>
      </c>
      <c r="P145" s="39" t="e">
        <f t="shared" si="19"/>
        <v>#DIV/0!</v>
      </c>
      <c r="Q145" s="39" t="e">
        <f t="shared" si="14"/>
        <v>#DIV/0!</v>
      </c>
      <c r="R145" s="39" t="e">
        <f t="shared" si="14"/>
        <v>#DIV/0!</v>
      </c>
      <c r="S145" s="39" t="e">
        <f t="shared" si="14"/>
        <v>#DIV/0!</v>
      </c>
      <c r="T145" s="39" t="e">
        <f t="shared" ref="Q145:V192" si="35">1/0</f>
        <v>#DIV/0!</v>
      </c>
      <c r="U145" s="39" t="e">
        <f t="shared" si="15"/>
        <v>#DIV/0!</v>
      </c>
      <c r="V145" s="39" t="e">
        <f t="shared" si="15"/>
        <v>#DIV/0!</v>
      </c>
      <c r="W145"/>
    </row>
    <row r="146" spans="1:23">
      <c r="A146" s="811" t="s">
        <v>1562</v>
      </c>
      <c r="B146" s="718">
        <v>1.4</v>
      </c>
      <c r="C146" s="739"/>
      <c r="D146" s="39" t="e">
        <f t="shared" si="30"/>
        <v>#DIV/0!</v>
      </c>
      <c r="E146" s="39" t="e">
        <f t="shared" si="30"/>
        <v>#DIV/0!</v>
      </c>
      <c r="F146" s="39" t="e">
        <f t="shared" si="30"/>
        <v>#DIV/0!</v>
      </c>
      <c r="G146" s="39" t="e">
        <f t="shared" si="30"/>
        <v>#DIV/0!</v>
      </c>
      <c r="H146" s="39" t="e">
        <f t="shared" si="18"/>
        <v>#DIV/0!</v>
      </c>
      <c r="I146" s="39" t="e">
        <f t="shared" si="18"/>
        <v>#DIV/0!</v>
      </c>
      <c r="J146" s="39" t="e">
        <f t="shared" si="18"/>
        <v>#DIV/0!</v>
      </c>
      <c r="K146" s="39">
        <v>2.9</v>
      </c>
      <c r="L146" s="39" t="e">
        <f t="shared" si="33"/>
        <v>#DIV/0!</v>
      </c>
      <c r="M146" s="39" t="e">
        <f t="shared" si="33"/>
        <v>#DIV/0!</v>
      </c>
      <c r="N146" s="39" t="e">
        <f t="shared" si="33"/>
        <v>#DIV/0!</v>
      </c>
      <c r="O146" s="39" t="e">
        <f t="shared" si="19"/>
        <v>#DIV/0!</v>
      </c>
      <c r="P146" s="39" t="e">
        <f t="shared" si="19"/>
        <v>#DIV/0!</v>
      </c>
      <c r="Q146" s="39" t="e">
        <f t="shared" si="35"/>
        <v>#DIV/0!</v>
      </c>
      <c r="R146" s="39" t="e">
        <f t="shared" si="35"/>
        <v>#DIV/0!</v>
      </c>
      <c r="S146" s="39" t="e">
        <f t="shared" si="35"/>
        <v>#DIV/0!</v>
      </c>
      <c r="T146" s="39" t="e">
        <f t="shared" si="35"/>
        <v>#DIV/0!</v>
      </c>
      <c r="U146" s="39" t="e">
        <f t="shared" si="35"/>
        <v>#DIV/0!</v>
      </c>
      <c r="V146" s="39" t="e">
        <f t="shared" si="35"/>
        <v>#DIV/0!</v>
      </c>
      <c r="W146"/>
    </row>
    <row r="147" spans="1:23">
      <c r="A147" s="808" t="s">
        <v>1539</v>
      </c>
      <c r="B147" s="718">
        <v>1.4</v>
      </c>
      <c r="C147" s="739"/>
      <c r="D147" s="39" t="e">
        <f t="shared" si="30"/>
        <v>#DIV/0!</v>
      </c>
      <c r="E147" s="39" t="e">
        <f t="shared" si="30"/>
        <v>#DIV/0!</v>
      </c>
      <c r="F147" s="39" t="e">
        <f t="shared" si="30"/>
        <v>#DIV/0!</v>
      </c>
      <c r="G147" s="39" t="e">
        <f t="shared" si="30"/>
        <v>#DIV/0!</v>
      </c>
      <c r="H147" s="39" t="e">
        <f t="shared" si="18"/>
        <v>#DIV/0!</v>
      </c>
      <c r="I147" s="39" t="e">
        <f t="shared" si="18"/>
        <v>#DIV/0!</v>
      </c>
      <c r="J147" s="39" t="e">
        <f t="shared" si="18"/>
        <v>#DIV/0!</v>
      </c>
      <c r="K147" s="39">
        <v>3.9</v>
      </c>
      <c r="L147" s="39" t="e">
        <f t="shared" si="33"/>
        <v>#DIV/0!</v>
      </c>
      <c r="M147" s="39" t="e">
        <f t="shared" si="33"/>
        <v>#DIV/0!</v>
      </c>
      <c r="N147" s="39" t="e">
        <f t="shared" si="33"/>
        <v>#DIV/0!</v>
      </c>
      <c r="O147" s="39" t="e">
        <f t="shared" si="19"/>
        <v>#DIV/0!</v>
      </c>
      <c r="P147" s="39" t="e">
        <f t="shared" si="19"/>
        <v>#DIV/0!</v>
      </c>
      <c r="Q147" s="39" t="e">
        <f t="shared" si="35"/>
        <v>#DIV/0!</v>
      </c>
      <c r="R147" s="39" t="e">
        <f t="shared" si="35"/>
        <v>#DIV/0!</v>
      </c>
      <c r="S147" s="39" t="e">
        <f t="shared" si="35"/>
        <v>#DIV/0!</v>
      </c>
      <c r="T147" s="39" t="e">
        <f t="shared" si="35"/>
        <v>#DIV/0!</v>
      </c>
      <c r="U147" s="39" t="e">
        <f t="shared" ref="U147:V192" si="36">1/0</f>
        <v>#DIV/0!</v>
      </c>
      <c r="V147" s="39" t="e">
        <f t="shared" si="36"/>
        <v>#DIV/0!</v>
      </c>
      <c r="W147"/>
    </row>
    <row r="148" spans="1:23">
      <c r="A148" s="811" t="s">
        <v>1563</v>
      </c>
      <c r="B148" s="718">
        <v>1.4</v>
      </c>
      <c r="C148" s="739"/>
      <c r="D148" s="39" t="e">
        <f t="shared" si="30"/>
        <v>#DIV/0!</v>
      </c>
      <c r="E148" s="39" t="e">
        <f t="shared" si="30"/>
        <v>#DIV/0!</v>
      </c>
      <c r="F148" s="39" t="e">
        <f t="shared" si="30"/>
        <v>#DIV/0!</v>
      </c>
      <c r="G148" s="39" t="e">
        <f t="shared" si="30"/>
        <v>#DIV/0!</v>
      </c>
      <c r="H148" s="39" t="e">
        <f t="shared" si="18"/>
        <v>#DIV/0!</v>
      </c>
      <c r="I148" s="39" t="e">
        <f t="shared" si="18"/>
        <v>#DIV/0!</v>
      </c>
      <c r="J148" s="39" t="e">
        <f t="shared" si="18"/>
        <v>#DIV/0!</v>
      </c>
      <c r="K148" s="39">
        <v>2.9</v>
      </c>
      <c r="L148" s="39" t="e">
        <f t="shared" si="33"/>
        <v>#DIV/0!</v>
      </c>
      <c r="M148" s="39" t="e">
        <f t="shared" si="33"/>
        <v>#DIV/0!</v>
      </c>
      <c r="N148" s="39" t="e">
        <f t="shared" si="33"/>
        <v>#DIV/0!</v>
      </c>
      <c r="O148" s="39" t="e">
        <f t="shared" si="19"/>
        <v>#DIV/0!</v>
      </c>
      <c r="P148" s="39" t="e">
        <f t="shared" si="19"/>
        <v>#DIV/0!</v>
      </c>
      <c r="Q148" s="39" t="e">
        <f t="shared" si="35"/>
        <v>#DIV/0!</v>
      </c>
      <c r="R148" s="39" t="e">
        <f t="shared" si="35"/>
        <v>#DIV/0!</v>
      </c>
      <c r="S148" s="39" t="e">
        <f t="shared" si="35"/>
        <v>#DIV/0!</v>
      </c>
      <c r="T148" s="39" t="e">
        <f t="shared" si="35"/>
        <v>#DIV/0!</v>
      </c>
      <c r="U148" s="39" t="e">
        <f t="shared" si="36"/>
        <v>#DIV/0!</v>
      </c>
      <c r="V148" s="39" t="e">
        <f t="shared" si="36"/>
        <v>#DIV/0!</v>
      </c>
      <c r="W148"/>
    </row>
    <row r="149" spans="1:23">
      <c r="A149" s="808" t="s">
        <v>1540</v>
      </c>
      <c r="B149" s="718">
        <v>1.4</v>
      </c>
      <c r="C149" s="739"/>
      <c r="D149" s="39" t="e">
        <f t="shared" si="30"/>
        <v>#DIV/0!</v>
      </c>
      <c r="E149" s="39" t="e">
        <f t="shared" si="30"/>
        <v>#DIV/0!</v>
      </c>
      <c r="F149" s="39" t="e">
        <f t="shared" si="30"/>
        <v>#DIV/0!</v>
      </c>
      <c r="G149" s="39" t="e">
        <f t="shared" si="30"/>
        <v>#DIV/0!</v>
      </c>
      <c r="H149" s="39" t="e">
        <f t="shared" si="18"/>
        <v>#DIV/0!</v>
      </c>
      <c r="I149" s="39" t="e">
        <f t="shared" si="18"/>
        <v>#DIV/0!</v>
      </c>
      <c r="J149" s="39" t="e">
        <f t="shared" si="18"/>
        <v>#DIV/0!</v>
      </c>
      <c r="K149" s="39">
        <v>3.9</v>
      </c>
      <c r="L149" s="39" t="e">
        <f t="shared" si="33"/>
        <v>#DIV/0!</v>
      </c>
      <c r="M149" s="39" t="e">
        <f t="shared" si="33"/>
        <v>#DIV/0!</v>
      </c>
      <c r="N149" s="39" t="e">
        <f t="shared" si="33"/>
        <v>#DIV/0!</v>
      </c>
      <c r="O149" s="39" t="e">
        <f t="shared" si="19"/>
        <v>#DIV/0!</v>
      </c>
      <c r="P149" s="39" t="e">
        <f t="shared" si="19"/>
        <v>#DIV/0!</v>
      </c>
      <c r="Q149" s="39" t="e">
        <f t="shared" si="35"/>
        <v>#DIV/0!</v>
      </c>
      <c r="R149" s="39" t="e">
        <f t="shared" si="35"/>
        <v>#DIV/0!</v>
      </c>
      <c r="S149" s="39" t="e">
        <f t="shared" si="35"/>
        <v>#DIV/0!</v>
      </c>
      <c r="T149" s="39" t="e">
        <f t="shared" si="35"/>
        <v>#DIV/0!</v>
      </c>
      <c r="U149" s="39" t="e">
        <f t="shared" si="36"/>
        <v>#DIV/0!</v>
      </c>
      <c r="V149" s="39" t="e">
        <f t="shared" si="36"/>
        <v>#DIV/0!</v>
      </c>
      <c r="W149"/>
    </row>
    <row r="150" spans="1:23">
      <c r="A150" s="811" t="s">
        <v>1564</v>
      </c>
      <c r="B150" s="718">
        <v>1.4</v>
      </c>
      <c r="C150" s="739"/>
      <c r="D150" s="39" t="e">
        <f t="shared" si="30"/>
        <v>#DIV/0!</v>
      </c>
      <c r="E150" s="39" t="e">
        <f t="shared" si="30"/>
        <v>#DIV/0!</v>
      </c>
      <c r="F150" s="39" t="e">
        <f t="shared" si="30"/>
        <v>#DIV/0!</v>
      </c>
      <c r="G150" s="39" t="e">
        <f t="shared" si="30"/>
        <v>#DIV/0!</v>
      </c>
      <c r="H150" s="39" t="e">
        <f t="shared" si="18"/>
        <v>#DIV/0!</v>
      </c>
      <c r="I150" s="39" t="e">
        <f t="shared" si="18"/>
        <v>#DIV/0!</v>
      </c>
      <c r="J150" s="39" t="e">
        <f t="shared" si="18"/>
        <v>#DIV/0!</v>
      </c>
      <c r="K150" s="39">
        <v>2.9</v>
      </c>
      <c r="L150" s="39" t="e">
        <f t="shared" si="33"/>
        <v>#DIV/0!</v>
      </c>
      <c r="M150" s="39" t="e">
        <f t="shared" si="33"/>
        <v>#DIV/0!</v>
      </c>
      <c r="N150" s="39" t="e">
        <f t="shared" si="33"/>
        <v>#DIV/0!</v>
      </c>
      <c r="O150" s="39" t="e">
        <f t="shared" si="19"/>
        <v>#DIV/0!</v>
      </c>
      <c r="P150" s="39" t="e">
        <f t="shared" si="19"/>
        <v>#DIV/0!</v>
      </c>
      <c r="Q150" s="39" t="e">
        <f t="shared" si="35"/>
        <v>#DIV/0!</v>
      </c>
      <c r="R150" s="39" t="e">
        <f t="shared" si="35"/>
        <v>#DIV/0!</v>
      </c>
      <c r="S150" s="39" t="e">
        <f t="shared" si="35"/>
        <v>#DIV/0!</v>
      </c>
      <c r="T150" s="39" t="e">
        <f t="shared" si="35"/>
        <v>#DIV/0!</v>
      </c>
      <c r="U150" s="39" t="e">
        <f t="shared" si="36"/>
        <v>#DIV/0!</v>
      </c>
      <c r="V150" s="39" t="e">
        <f t="shared" si="36"/>
        <v>#DIV/0!</v>
      </c>
      <c r="W150"/>
    </row>
    <row r="151" spans="1:23">
      <c r="A151" s="808" t="s">
        <v>1541</v>
      </c>
      <c r="B151" s="718">
        <v>1.4</v>
      </c>
      <c r="C151" s="739"/>
      <c r="D151" s="39" t="e">
        <f t="shared" si="30"/>
        <v>#DIV/0!</v>
      </c>
      <c r="E151" s="39" t="e">
        <f t="shared" si="30"/>
        <v>#DIV/0!</v>
      </c>
      <c r="F151" s="39" t="e">
        <f t="shared" si="30"/>
        <v>#DIV/0!</v>
      </c>
      <c r="G151" s="39" t="e">
        <f t="shared" si="30"/>
        <v>#DIV/0!</v>
      </c>
      <c r="H151" s="39" t="e">
        <f t="shared" si="18"/>
        <v>#DIV/0!</v>
      </c>
      <c r="I151" s="39" t="e">
        <f t="shared" si="18"/>
        <v>#DIV/0!</v>
      </c>
      <c r="J151" s="39" t="e">
        <f t="shared" si="18"/>
        <v>#DIV/0!</v>
      </c>
      <c r="K151" s="39">
        <v>3.9</v>
      </c>
      <c r="L151" s="39" t="e">
        <f t="shared" si="33"/>
        <v>#DIV/0!</v>
      </c>
      <c r="M151" s="39" t="e">
        <f t="shared" si="33"/>
        <v>#DIV/0!</v>
      </c>
      <c r="N151" s="39" t="e">
        <f t="shared" si="33"/>
        <v>#DIV/0!</v>
      </c>
      <c r="O151" s="39" t="e">
        <f t="shared" si="19"/>
        <v>#DIV/0!</v>
      </c>
      <c r="P151" s="39" t="e">
        <f t="shared" si="19"/>
        <v>#DIV/0!</v>
      </c>
      <c r="Q151" s="39" t="e">
        <f t="shared" si="35"/>
        <v>#DIV/0!</v>
      </c>
      <c r="R151" s="39" t="e">
        <f t="shared" si="35"/>
        <v>#DIV/0!</v>
      </c>
      <c r="S151" s="39" t="e">
        <f t="shared" si="35"/>
        <v>#DIV/0!</v>
      </c>
      <c r="T151" s="39" t="e">
        <f t="shared" si="35"/>
        <v>#DIV/0!</v>
      </c>
      <c r="U151" s="39" t="e">
        <f t="shared" si="36"/>
        <v>#DIV/0!</v>
      </c>
      <c r="V151" s="39" t="e">
        <f t="shared" si="36"/>
        <v>#DIV/0!</v>
      </c>
      <c r="W151"/>
    </row>
    <row r="152" spans="1:23">
      <c r="A152" s="811" t="s">
        <v>1565</v>
      </c>
      <c r="B152" s="718">
        <v>1.4</v>
      </c>
      <c r="C152" s="739"/>
      <c r="D152" s="39" t="e">
        <f t="shared" si="30"/>
        <v>#DIV/0!</v>
      </c>
      <c r="E152" s="39" t="e">
        <f t="shared" si="30"/>
        <v>#DIV/0!</v>
      </c>
      <c r="F152" s="39" t="e">
        <f t="shared" si="30"/>
        <v>#DIV/0!</v>
      </c>
      <c r="G152" s="39" t="e">
        <f t="shared" si="30"/>
        <v>#DIV/0!</v>
      </c>
      <c r="H152" s="39" t="e">
        <f t="shared" si="18"/>
        <v>#DIV/0!</v>
      </c>
      <c r="I152" s="39" t="e">
        <f t="shared" si="18"/>
        <v>#DIV/0!</v>
      </c>
      <c r="J152" s="39" t="e">
        <f t="shared" si="18"/>
        <v>#DIV/0!</v>
      </c>
      <c r="K152" s="39">
        <v>2.9</v>
      </c>
      <c r="L152" s="39" t="e">
        <f t="shared" si="33"/>
        <v>#DIV/0!</v>
      </c>
      <c r="M152" s="39" t="e">
        <f t="shared" si="33"/>
        <v>#DIV/0!</v>
      </c>
      <c r="N152" s="39" t="e">
        <f t="shared" si="33"/>
        <v>#DIV/0!</v>
      </c>
      <c r="O152" s="39" t="e">
        <f t="shared" si="19"/>
        <v>#DIV/0!</v>
      </c>
      <c r="P152" s="39" t="e">
        <f t="shared" si="19"/>
        <v>#DIV/0!</v>
      </c>
      <c r="Q152" s="39" t="e">
        <f t="shared" si="35"/>
        <v>#DIV/0!</v>
      </c>
      <c r="R152" s="39" t="e">
        <f t="shared" si="35"/>
        <v>#DIV/0!</v>
      </c>
      <c r="S152" s="39" t="e">
        <f t="shared" si="35"/>
        <v>#DIV/0!</v>
      </c>
      <c r="T152" s="39" t="e">
        <f t="shared" si="35"/>
        <v>#DIV/0!</v>
      </c>
      <c r="U152" s="39" t="e">
        <f t="shared" si="36"/>
        <v>#DIV/0!</v>
      </c>
      <c r="V152" s="39" t="e">
        <f t="shared" si="36"/>
        <v>#DIV/0!</v>
      </c>
      <c r="W152"/>
    </row>
    <row r="153" spans="1:23">
      <c r="A153" s="808" t="s">
        <v>1542</v>
      </c>
      <c r="B153" s="718">
        <v>1.4</v>
      </c>
      <c r="C153" s="739"/>
      <c r="D153" s="39" t="e">
        <f t="shared" si="30"/>
        <v>#DIV/0!</v>
      </c>
      <c r="E153" s="39" t="e">
        <f t="shared" si="30"/>
        <v>#DIV/0!</v>
      </c>
      <c r="F153" s="39" t="e">
        <f t="shared" si="30"/>
        <v>#DIV/0!</v>
      </c>
      <c r="G153" s="39" t="e">
        <f t="shared" si="30"/>
        <v>#DIV/0!</v>
      </c>
      <c r="H153" s="39" t="e">
        <f t="shared" si="18"/>
        <v>#DIV/0!</v>
      </c>
      <c r="I153" s="39" t="e">
        <f t="shared" si="18"/>
        <v>#DIV/0!</v>
      </c>
      <c r="J153" s="39" t="e">
        <f t="shared" si="18"/>
        <v>#DIV/0!</v>
      </c>
      <c r="K153" s="39">
        <v>3.9</v>
      </c>
      <c r="L153" s="39" t="e">
        <f t="shared" si="33"/>
        <v>#DIV/0!</v>
      </c>
      <c r="M153" s="39" t="e">
        <f t="shared" si="33"/>
        <v>#DIV/0!</v>
      </c>
      <c r="N153" s="39" t="e">
        <f t="shared" si="33"/>
        <v>#DIV/0!</v>
      </c>
      <c r="O153" s="39" t="e">
        <f t="shared" si="19"/>
        <v>#DIV/0!</v>
      </c>
      <c r="P153" s="39" t="e">
        <f t="shared" si="19"/>
        <v>#DIV/0!</v>
      </c>
      <c r="Q153" s="39" t="e">
        <f t="shared" si="35"/>
        <v>#DIV/0!</v>
      </c>
      <c r="R153" s="39" t="e">
        <f t="shared" si="35"/>
        <v>#DIV/0!</v>
      </c>
      <c r="S153" s="39" t="e">
        <f t="shared" si="35"/>
        <v>#DIV/0!</v>
      </c>
      <c r="T153" s="39" t="e">
        <f t="shared" si="35"/>
        <v>#DIV/0!</v>
      </c>
      <c r="U153" s="39" t="e">
        <f t="shared" si="36"/>
        <v>#DIV/0!</v>
      </c>
      <c r="V153" s="39" t="e">
        <f t="shared" si="36"/>
        <v>#DIV/0!</v>
      </c>
      <c r="W153"/>
    </row>
    <row r="154" spans="1:23">
      <c r="A154" s="811" t="s">
        <v>1566</v>
      </c>
      <c r="B154" s="718">
        <v>1.4</v>
      </c>
      <c r="C154" s="739"/>
      <c r="D154" s="39" t="e">
        <f t="shared" si="30"/>
        <v>#DIV/0!</v>
      </c>
      <c r="E154" s="39" t="e">
        <f t="shared" si="30"/>
        <v>#DIV/0!</v>
      </c>
      <c r="F154" s="39" t="e">
        <f t="shared" si="30"/>
        <v>#DIV/0!</v>
      </c>
      <c r="G154" s="39" t="e">
        <f t="shared" si="30"/>
        <v>#DIV/0!</v>
      </c>
      <c r="H154" s="39" t="e">
        <f t="shared" si="18"/>
        <v>#DIV/0!</v>
      </c>
      <c r="I154" s="39" t="e">
        <f t="shared" si="18"/>
        <v>#DIV/0!</v>
      </c>
      <c r="J154" s="39" t="e">
        <f t="shared" si="18"/>
        <v>#DIV/0!</v>
      </c>
      <c r="K154" s="39">
        <v>2.9</v>
      </c>
      <c r="L154" s="39" t="e">
        <f t="shared" si="33"/>
        <v>#DIV/0!</v>
      </c>
      <c r="M154" s="39" t="e">
        <f t="shared" si="33"/>
        <v>#DIV/0!</v>
      </c>
      <c r="N154" s="39" t="e">
        <f t="shared" si="33"/>
        <v>#DIV/0!</v>
      </c>
      <c r="O154" s="39" t="e">
        <f t="shared" si="19"/>
        <v>#DIV/0!</v>
      </c>
      <c r="P154" s="39" t="e">
        <f t="shared" si="19"/>
        <v>#DIV/0!</v>
      </c>
      <c r="Q154" s="39" t="e">
        <f t="shared" si="35"/>
        <v>#DIV/0!</v>
      </c>
      <c r="R154" s="39" t="e">
        <f t="shared" si="35"/>
        <v>#DIV/0!</v>
      </c>
      <c r="S154" s="39" t="e">
        <f t="shared" si="35"/>
        <v>#DIV/0!</v>
      </c>
      <c r="T154" s="39" t="e">
        <f t="shared" si="35"/>
        <v>#DIV/0!</v>
      </c>
      <c r="U154" s="39" t="e">
        <f t="shared" si="36"/>
        <v>#DIV/0!</v>
      </c>
      <c r="V154" s="39" t="e">
        <f t="shared" si="36"/>
        <v>#DIV/0!</v>
      </c>
      <c r="W154"/>
    </row>
    <row r="155" spans="1:23">
      <c r="A155" s="808" t="s">
        <v>1543</v>
      </c>
      <c r="B155" s="718">
        <v>1.4</v>
      </c>
      <c r="C155" s="739"/>
      <c r="D155" s="39" t="e">
        <f t="shared" si="30"/>
        <v>#DIV/0!</v>
      </c>
      <c r="E155" s="39" t="e">
        <f t="shared" si="30"/>
        <v>#DIV/0!</v>
      </c>
      <c r="F155" s="39" t="e">
        <f t="shared" si="30"/>
        <v>#DIV/0!</v>
      </c>
      <c r="G155" s="39" t="e">
        <f t="shared" si="30"/>
        <v>#DIV/0!</v>
      </c>
      <c r="H155" s="39" t="e">
        <f t="shared" si="18"/>
        <v>#DIV/0!</v>
      </c>
      <c r="I155" s="39" t="e">
        <f t="shared" si="18"/>
        <v>#DIV/0!</v>
      </c>
      <c r="J155" s="39" t="e">
        <f t="shared" si="18"/>
        <v>#DIV/0!</v>
      </c>
      <c r="K155" s="39">
        <v>3.9</v>
      </c>
      <c r="L155" s="39" t="e">
        <f t="shared" si="33"/>
        <v>#DIV/0!</v>
      </c>
      <c r="M155" s="39" t="e">
        <f t="shared" si="33"/>
        <v>#DIV/0!</v>
      </c>
      <c r="N155" s="39" t="e">
        <f t="shared" si="33"/>
        <v>#DIV/0!</v>
      </c>
      <c r="O155" s="39" t="e">
        <f t="shared" si="19"/>
        <v>#DIV/0!</v>
      </c>
      <c r="P155" s="39" t="e">
        <f t="shared" si="19"/>
        <v>#DIV/0!</v>
      </c>
      <c r="Q155" s="39" t="e">
        <f t="shared" si="35"/>
        <v>#DIV/0!</v>
      </c>
      <c r="R155" s="39" t="e">
        <f t="shared" si="35"/>
        <v>#DIV/0!</v>
      </c>
      <c r="S155" s="39" t="e">
        <f t="shared" si="35"/>
        <v>#DIV/0!</v>
      </c>
      <c r="T155" s="39" t="e">
        <f t="shared" si="35"/>
        <v>#DIV/0!</v>
      </c>
      <c r="U155" s="39" t="e">
        <f t="shared" si="36"/>
        <v>#DIV/0!</v>
      </c>
      <c r="V155" s="39" t="e">
        <f t="shared" si="36"/>
        <v>#DIV/0!</v>
      </c>
      <c r="W155"/>
    </row>
    <row r="156" spans="1:23">
      <c r="A156" s="811" t="s">
        <v>1567</v>
      </c>
      <c r="B156" s="718">
        <v>1.4</v>
      </c>
      <c r="C156" s="739"/>
      <c r="D156" s="39" t="e">
        <f t="shared" si="30"/>
        <v>#DIV/0!</v>
      </c>
      <c r="E156" s="39" t="e">
        <f t="shared" si="30"/>
        <v>#DIV/0!</v>
      </c>
      <c r="F156" s="39" t="e">
        <f t="shared" si="30"/>
        <v>#DIV/0!</v>
      </c>
      <c r="G156" s="39" t="e">
        <f t="shared" si="30"/>
        <v>#DIV/0!</v>
      </c>
      <c r="H156" s="39" t="e">
        <f t="shared" si="18"/>
        <v>#DIV/0!</v>
      </c>
      <c r="I156" s="39" t="e">
        <f t="shared" si="18"/>
        <v>#DIV/0!</v>
      </c>
      <c r="J156" s="39" t="e">
        <f t="shared" si="18"/>
        <v>#DIV/0!</v>
      </c>
      <c r="K156" s="39">
        <v>2.9</v>
      </c>
      <c r="L156" s="39" t="e">
        <f t="shared" ref="L156:N176" si="37">1/0</f>
        <v>#DIV/0!</v>
      </c>
      <c r="M156" s="39" t="e">
        <f t="shared" si="37"/>
        <v>#DIV/0!</v>
      </c>
      <c r="N156" s="39" t="e">
        <f t="shared" si="37"/>
        <v>#DIV/0!</v>
      </c>
      <c r="O156" s="39" t="e">
        <f t="shared" si="19"/>
        <v>#DIV/0!</v>
      </c>
      <c r="P156" s="39" t="e">
        <f t="shared" si="19"/>
        <v>#DIV/0!</v>
      </c>
      <c r="Q156" s="39" t="e">
        <f t="shared" si="35"/>
        <v>#DIV/0!</v>
      </c>
      <c r="R156" s="39" t="e">
        <f t="shared" si="35"/>
        <v>#DIV/0!</v>
      </c>
      <c r="S156" s="39" t="e">
        <f t="shared" si="35"/>
        <v>#DIV/0!</v>
      </c>
      <c r="T156" s="39" t="e">
        <f t="shared" si="35"/>
        <v>#DIV/0!</v>
      </c>
      <c r="U156" s="39" t="e">
        <f t="shared" si="36"/>
        <v>#DIV/0!</v>
      </c>
      <c r="V156" s="39" t="e">
        <f t="shared" si="36"/>
        <v>#DIV/0!</v>
      </c>
      <c r="W156"/>
    </row>
    <row r="157" spans="1:23">
      <c r="A157" s="811" t="s">
        <v>1568</v>
      </c>
      <c r="B157" s="718">
        <v>1.4</v>
      </c>
      <c r="C157" s="739"/>
      <c r="D157" s="39" t="e">
        <f t="shared" si="30"/>
        <v>#DIV/0!</v>
      </c>
      <c r="E157" s="39" t="e">
        <f t="shared" si="30"/>
        <v>#DIV/0!</v>
      </c>
      <c r="F157" s="39" t="e">
        <f t="shared" si="30"/>
        <v>#DIV/0!</v>
      </c>
      <c r="G157" s="39" t="e">
        <f t="shared" si="30"/>
        <v>#DIV/0!</v>
      </c>
      <c r="H157" s="39" t="e">
        <f t="shared" si="18"/>
        <v>#DIV/0!</v>
      </c>
      <c r="I157" s="39" t="e">
        <f t="shared" si="18"/>
        <v>#DIV/0!</v>
      </c>
      <c r="J157" s="39" t="e">
        <f t="shared" si="18"/>
        <v>#DIV/0!</v>
      </c>
      <c r="K157" s="39">
        <v>2.9</v>
      </c>
      <c r="L157" s="39" t="e">
        <f t="shared" si="37"/>
        <v>#DIV/0!</v>
      </c>
      <c r="M157" s="39" t="e">
        <f t="shared" si="37"/>
        <v>#DIV/0!</v>
      </c>
      <c r="N157" s="39" t="e">
        <f t="shared" si="37"/>
        <v>#DIV/0!</v>
      </c>
      <c r="O157" s="39" t="e">
        <f t="shared" si="19"/>
        <v>#DIV/0!</v>
      </c>
      <c r="P157" s="39" t="e">
        <f t="shared" si="19"/>
        <v>#DIV/0!</v>
      </c>
      <c r="Q157" s="39" t="e">
        <f t="shared" si="35"/>
        <v>#DIV/0!</v>
      </c>
      <c r="R157" s="39" t="e">
        <f t="shared" si="35"/>
        <v>#DIV/0!</v>
      </c>
      <c r="S157" s="39" t="e">
        <f t="shared" si="35"/>
        <v>#DIV/0!</v>
      </c>
      <c r="T157" s="39" t="e">
        <f t="shared" si="35"/>
        <v>#DIV/0!</v>
      </c>
      <c r="U157" s="39" t="e">
        <f t="shared" si="36"/>
        <v>#DIV/0!</v>
      </c>
      <c r="V157" s="39" t="e">
        <f t="shared" si="36"/>
        <v>#DIV/0!</v>
      </c>
      <c r="W157"/>
    </row>
    <row r="158" spans="1:23">
      <c r="A158" s="808" t="s">
        <v>1544</v>
      </c>
      <c r="B158" s="718">
        <v>1.4</v>
      </c>
      <c r="C158" s="739"/>
      <c r="D158" s="39" t="e">
        <f t="shared" si="30"/>
        <v>#DIV/0!</v>
      </c>
      <c r="E158" s="39" t="e">
        <f t="shared" si="30"/>
        <v>#DIV/0!</v>
      </c>
      <c r="F158" s="39" t="e">
        <f t="shared" si="30"/>
        <v>#DIV/0!</v>
      </c>
      <c r="G158" s="39" t="e">
        <f t="shared" si="30"/>
        <v>#DIV/0!</v>
      </c>
      <c r="H158" s="39" t="e">
        <f t="shared" si="18"/>
        <v>#DIV/0!</v>
      </c>
      <c r="I158" s="39" t="e">
        <f t="shared" si="18"/>
        <v>#DIV/0!</v>
      </c>
      <c r="J158" s="39" t="e">
        <f t="shared" si="18"/>
        <v>#DIV/0!</v>
      </c>
      <c r="K158" s="39">
        <v>3.9</v>
      </c>
      <c r="L158" s="39" t="e">
        <f t="shared" si="37"/>
        <v>#DIV/0!</v>
      </c>
      <c r="M158" s="39" t="e">
        <f t="shared" si="37"/>
        <v>#DIV/0!</v>
      </c>
      <c r="N158" s="39" t="e">
        <f t="shared" si="37"/>
        <v>#DIV/0!</v>
      </c>
      <c r="O158" s="39" t="e">
        <f t="shared" si="19"/>
        <v>#DIV/0!</v>
      </c>
      <c r="P158" s="39" t="e">
        <f t="shared" si="19"/>
        <v>#DIV/0!</v>
      </c>
      <c r="Q158" s="39" t="e">
        <f t="shared" si="35"/>
        <v>#DIV/0!</v>
      </c>
      <c r="R158" s="39" t="e">
        <f t="shared" si="35"/>
        <v>#DIV/0!</v>
      </c>
      <c r="S158" s="39" t="e">
        <f t="shared" si="35"/>
        <v>#DIV/0!</v>
      </c>
      <c r="T158" s="39" t="e">
        <f t="shared" si="35"/>
        <v>#DIV/0!</v>
      </c>
      <c r="U158" s="39" t="e">
        <f t="shared" si="36"/>
        <v>#DIV/0!</v>
      </c>
      <c r="V158" s="39" t="e">
        <f t="shared" si="36"/>
        <v>#DIV/0!</v>
      </c>
      <c r="W158"/>
    </row>
    <row r="159" spans="1:23">
      <c r="A159" s="812" t="s">
        <v>1569</v>
      </c>
      <c r="B159" s="718">
        <v>1.4</v>
      </c>
      <c r="C159" s="739"/>
      <c r="D159" s="39" t="e">
        <f t="shared" si="30"/>
        <v>#DIV/0!</v>
      </c>
      <c r="E159" s="39" t="e">
        <f t="shared" si="30"/>
        <v>#DIV/0!</v>
      </c>
      <c r="F159" s="39" t="e">
        <f t="shared" si="30"/>
        <v>#DIV/0!</v>
      </c>
      <c r="G159" s="39" t="e">
        <f t="shared" si="30"/>
        <v>#DIV/0!</v>
      </c>
      <c r="H159" s="39" t="e">
        <f t="shared" si="18"/>
        <v>#DIV/0!</v>
      </c>
      <c r="I159" s="39" t="e">
        <f t="shared" si="18"/>
        <v>#DIV/0!</v>
      </c>
      <c r="J159" s="39" t="e">
        <f t="shared" si="18"/>
        <v>#DIV/0!</v>
      </c>
      <c r="K159" s="39">
        <v>2.9</v>
      </c>
      <c r="L159" s="39" t="e">
        <f t="shared" si="37"/>
        <v>#DIV/0!</v>
      </c>
      <c r="M159" s="39" t="e">
        <f t="shared" si="37"/>
        <v>#DIV/0!</v>
      </c>
      <c r="N159" s="39" t="e">
        <f t="shared" si="37"/>
        <v>#DIV/0!</v>
      </c>
      <c r="O159" s="39" t="e">
        <f t="shared" si="19"/>
        <v>#DIV/0!</v>
      </c>
      <c r="P159" s="39" t="e">
        <f t="shared" si="19"/>
        <v>#DIV/0!</v>
      </c>
      <c r="Q159" s="39" t="e">
        <f t="shared" si="35"/>
        <v>#DIV/0!</v>
      </c>
      <c r="R159" s="39" t="e">
        <f t="shared" si="35"/>
        <v>#DIV/0!</v>
      </c>
      <c r="S159" s="39" t="e">
        <f t="shared" si="35"/>
        <v>#DIV/0!</v>
      </c>
      <c r="T159" s="39" t="e">
        <f t="shared" si="35"/>
        <v>#DIV/0!</v>
      </c>
      <c r="U159" s="39" t="e">
        <f t="shared" si="36"/>
        <v>#DIV/0!</v>
      </c>
      <c r="V159" s="39" t="e">
        <f t="shared" si="36"/>
        <v>#DIV/0!</v>
      </c>
      <c r="W159"/>
    </row>
    <row r="160" spans="1:23">
      <c r="A160" s="808" t="s">
        <v>1545</v>
      </c>
      <c r="B160" s="718">
        <v>1.4</v>
      </c>
      <c r="C160" s="739"/>
      <c r="D160" s="39" t="e">
        <f t="shared" si="30"/>
        <v>#DIV/0!</v>
      </c>
      <c r="E160" s="39" t="e">
        <f t="shared" si="30"/>
        <v>#DIV/0!</v>
      </c>
      <c r="F160" s="39" t="e">
        <f t="shared" si="30"/>
        <v>#DIV/0!</v>
      </c>
      <c r="G160" s="39" t="e">
        <f t="shared" si="30"/>
        <v>#DIV/0!</v>
      </c>
      <c r="H160" s="39" t="e">
        <f t="shared" si="18"/>
        <v>#DIV/0!</v>
      </c>
      <c r="I160" s="39" t="e">
        <f t="shared" si="18"/>
        <v>#DIV/0!</v>
      </c>
      <c r="J160" s="39" t="e">
        <f t="shared" si="18"/>
        <v>#DIV/0!</v>
      </c>
      <c r="K160" s="39">
        <v>3.9</v>
      </c>
      <c r="L160" s="39" t="e">
        <f t="shared" si="37"/>
        <v>#DIV/0!</v>
      </c>
      <c r="M160" s="39" t="e">
        <f t="shared" si="37"/>
        <v>#DIV/0!</v>
      </c>
      <c r="N160" s="39" t="e">
        <f t="shared" si="37"/>
        <v>#DIV/0!</v>
      </c>
      <c r="O160" s="39" t="e">
        <f t="shared" si="19"/>
        <v>#DIV/0!</v>
      </c>
      <c r="P160" s="39" t="e">
        <f t="shared" si="19"/>
        <v>#DIV/0!</v>
      </c>
      <c r="Q160" s="39" t="e">
        <f t="shared" si="35"/>
        <v>#DIV/0!</v>
      </c>
      <c r="R160" s="39" t="e">
        <f t="shared" si="35"/>
        <v>#DIV/0!</v>
      </c>
      <c r="S160" s="39" t="e">
        <f t="shared" si="35"/>
        <v>#DIV/0!</v>
      </c>
      <c r="T160" s="39" t="e">
        <f t="shared" si="35"/>
        <v>#DIV/0!</v>
      </c>
      <c r="U160" s="39" t="e">
        <f t="shared" si="36"/>
        <v>#DIV/0!</v>
      </c>
      <c r="V160" s="39" t="e">
        <f t="shared" si="36"/>
        <v>#DIV/0!</v>
      </c>
      <c r="W160"/>
    </row>
    <row r="161" spans="1:23">
      <c r="A161" s="811" t="s">
        <v>1570</v>
      </c>
      <c r="B161" s="718">
        <v>1.4</v>
      </c>
      <c r="C161" s="739"/>
      <c r="D161" s="39" t="e">
        <f t="shared" si="30"/>
        <v>#DIV/0!</v>
      </c>
      <c r="E161" s="39" t="e">
        <f t="shared" si="30"/>
        <v>#DIV/0!</v>
      </c>
      <c r="F161" s="39" t="e">
        <f t="shared" si="30"/>
        <v>#DIV/0!</v>
      </c>
      <c r="G161" s="39" t="e">
        <f t="shared" si="30"/>
        <v>#DIV/0!</v>
      </c>
      <c r="H161" s="39" t="e">
        <f t="shared" si="18"/>
        <v>#DIV/0!</v>
      </c>
      <c r="I161" s="39" t="e">
        <f t="shared" si="18"/>
        <v>#DIV/0!</v>
      </c>
      <c r="J161" s="39" t="e">
        <f t="shared" si="18"/>
        <v>#DIV/0!</v>
      </c>
      <c r="K161" s="39">
        <v>2.9</v>
      </c>
      <c r="L161" s="39" t="e">
        <f t="shared" si="37"/>
        <v>#DIV/0!</v>
      </c>
      <c r="M161" s="39" t="e">
        <f t="shared" si="37"/>
        <v>#DIV/0!</v>
      </c>
      <c r="N161" s="39" t="e">
        <f t="shared" si="37"/>
        <v>#DIV/0!</v>
      </c>
      <c r="O161" s="39" t="e">
        <f t="shared" si="19"/>
        <v>#DIV/0!</v>
      </c>
      <c r="P161" s="39" t="e">
        <f t="shared" si="19"/>
        <v>#DIV/0!</v>
      </c>
      <c r="Q161" s="39" t="e">
        <f t="shared" si="35"/>
        <v>#DIV/0!</v>
      </c>
      <c r="R161" s="39" t="e">
        <f t="shared" si="35"/>
        <v>#DIV/0!</v>
      </c>
      <c r="S161" s="39" t="e">
        <f t="shared" si="35"/>
        <v>#DIV/0!</v>
      </c>
      <c r="T161" s="39" t="e">
        <f t="shared" si="35"/>
        <v>#DIV/0!</v>
      </c>
      <c r="U161" s="39" t="e">
        <f t="shared" si="36"/>
        <v>#DIV/0!</v>
      </c>
      <c r="V161" s="39" t="e">
        <f t="shared" si="36"/>
        <v>#DIV/0!</v>
      </c>
      <c r="W161"/>
    </row>
    <row r="162" spans="1:23">
      <c r="A162" s="808" t="s">
        <v>1546</v>
      </c>
      <c r="B162" s="718">
        <v>1.4</v>
      </c>
      <c r="C162" s="739"/>
      <c r="D162" s="39" t="e">
        <f t="shared" si="30"/>
        <v>#DIV/0!</v>
      </c>
      <c r="E162" s="39" t="e">
        <f t="shared" si="30"/>
        <v>#DIV/0!</v>
      </c>
      <c r="F162" s="39" t="e">
        <f t="shared" si="30"/>
        <v>#DIV/0!</v>
      </c>
      <c r="G162" s="39" t="e">
        <f t="shared" si="30"/>
        <v>#DIV/0!</v>
      </c>
      <c r="H162" s="39" t="e">
        <f t="shared" si="18"/>
        <v>#DIV/0!</v>
      </c>
      <c r="I162" s="39" t="e">
        <f t="shared" si="18"/>
        <v>#DIV/0!</v>
      </c>
      <c r="J162" s="39" t="e">
        <f t="shared" si="18"/>
        <v>#DIV/0!</v>
      </c>
      <c r="K162" s="39">
        <v>3.9</v>
      </c>
      <c r="L162" s="39" t="e">
        <f t="shared" si="37"/>
        <v>#DIV/0!</v>
      </c>
      <c r="M162" s="39" t="e">
        <f t="shared" si="37"/>
        <v>#DIV/0!</v>
      </c>
      <c r="N162" s="39" t="e">
        <f t="shared" si="37"/>
        <v>#DIV/0!</v>
      </c>
      <c r="O162" s="39" t="e">
        <f t="shared" si="19"/>
        <v>#DIV/0!</v>
      </c>
      <c r="P162" s="39" t="e">
        <f t="shared" si="19"/>
        <v>#DIV/0!</v>
      </c>
      <c r="Q162" s="39" t="e">
        <f t="shared" si="35"/>
        <v>#DIV/0!</v>
      </c>
      <c r="R162" s="39" t="e">
        <f t="shared" si="35"/>
        <v>#DIV/0!</v>
      </c>
      <c r="S162" s="39" t="e">
        <f t="shared" si="35"/>
        <v>#DIV/0!</v>
      </c>
      <c r="T162" s="39" t="e">
        <f t="shared" si="35"/>
        <v>#DIV/0!</v>
      </c>
      <c r="U162" s="39" t="e">
        <f t="shared" si="36"/>
        <v>#DIV/0!</v>
      </c>
      <c r="V162" s="39" t="e">
        <f t="shared" si="36"/>
        <v>#DIV/0!</v>
      </c>
      <c r="W162"/>
    </row>
    <row r="163" spans="1:23">
      <c r="A163" s="811" t="s">
        <v>1560</v>
      </c>
      <c r="B163" s="718">
        <v>1.4</v>
      </c>
      <c r="C163" s="739"/>
      <c r="D163" s="39" t="e">
        <f t="shared" si="30"/>
        <v>#DIV/0!</v>
      </c>
      <c r="E163" s="39" t="e">
        <f t="shared" si="30"/>
        <v>#DIV/0!</v>
      </c>
      <c r="F163" s="39" t="e">
        <f t="shared" si="30"/>
        <v>#DIV/0!</v>
      </c>
      <c r="G163" s="39" t="e">
        <f t="shared" si="30"/>
        <v>#DIV/0!</v>
      </c>
      <c r="H163" s="39" t="e">
        <f t="shared" si="18"/>
        <v>#DIV/0!</v>
      </c>
      <c r="I163" s="39" t="e">
        <f t="shared" si="18"/>
        <v>#DIV/0!</v>
      </c>
      <c r="J163" s="39" t="e">
        <f t="shared" si="18"/>
        <v>#DIV/0!</v>
      </c>
      <c r="K163" s="39">
        <v>2.9</v>
      </c>
      <c r="L163" s="39" t="e">
        <f t="shared" si="37"/>
        <v>#DIV/0!</v>
      </c>
      <c r="M163" s="39" t="e">
        <f t="shared" si="37"/>
        <v>#DIV/0!</v>
      </c>
      <c r="N163" s="39" t="e">
        <f t="shared" si="37"/>
        <v>#DIV/0!</v>
      </c>
      <c r="O163" s="39" t="e">
        <f t="shared" si="19"/>
        <v>#DIV/0!</v>
      </c>
      <c r="P163" s="39" t="e">
        <f t="shared" si="19"/>
        <v>#DIV/0!</v>
      </c>
      <c r="Q163" s="39" t="e">
        <f t="shared" si="35"/>
        <v>#DIV/0!</v>
      </c>
      <c r="R163" s="39" t="e">
        <f t="shared" si="35"/>
        <v>#DIV/0!</v>
      </c>
      <c r="S163" s="39" t="e">
        <f t="shared" si="35"/>
        <v>#DIV/0!</v>
      </c>
      <c r="T163" s="39" t="e">
        <f t="shared" si="35"/>
        <v>#DIV/0!</v>
      </c>
      <c r="U163" s="39" t="e">
        <f t="shared" si="36"/>
        <v>#DIV/0!</v>
      </c>
      <c r="V163" s="39" t="e">
        <f t="shared" si="36"/>
        <v>#DIV/0!</v>
      </c>
      <c r="W163"/>
    </row>
    <row r="164" spans="1:23">
      <c r="A164" s="808" t="s">
        <v>1547</v>
      </c>
      <c r="B164" s="718">
        <v>1.4</v>
      </c>
      <c r="C164" s="739"/>
      <c r="D164" s="39" t="e">
        <f t="shared" si="30"/>
        <v>#DIV/0!</v>
      </c>
      <c r="E164" s="39" t="e">
        <f t="shared" si="30"/>
        <v>#DIV/0!</v>
      </c>
      <c r="F164" s="39" t="e">
        <f t="shared" si="30"/>
        <v>#DIV/0!</v>
      </c>
      <c r="G164" s="39" t="e">
        <f t="shared" si="30"/>
        <v>#DIV/0!</v>
      </c>
      <c r="H164" s="39" t="e">
        <f t="shared" si="18"/>
        <v>#DIV/0!</v>
      </c>
      <c r="I164" s="39" t="e">
        <f t="shared" si="18"/>
        <v>#DIV/0!</v>
      </c>
      <c r="J164" s="39" t="e">
        <f t="shared" si="18"/>
        <v>#DIV/0!</v>
      </c>
      <c r="K164" s="39">
        <v>3.9</v>
      </c>
      <c r="L164" s="39" t="e">
        <f t="shared" si="37"/>
        <v>#DIV/0!</v>
      </c>
      <c r="M164" s="39" t="e">
        <f t="shared" si="37"/>
        <v>#DIV/0!</v>
      </c>
      <c r="N164" s="39" t="e">
        <f t="shared" si="37"/>
        <v>#DIV/0!</v>
      </c>
      <c r="O164" s="39" t="e">
        <f t="shared" si="19"/>
        <v>#DIV/0!</v>
      </c>
      <c r="P164" s="39" t="e">
        <f t="shared" si="19"/>
        <v>#DIV/0!</v>
      </c>
      <c r="Q164" s="39" t="e">
        <f t="shared" si="35"/>
        <v>#DIV/0!</v>
      </c>
      <c r="R164" s="39" t="e">
        <f t="shared" si="35"/>
        <v>#DIV/0!</v>
      </c>
      <c r="S164" s="39" t="e">
        <f t="shared" si="35"/>
        <v>#DIV/0!</v>
      </c>
      <c r="T164" s="39" t="e">
        <f t="shared" si="35"/>
        <v>#DIV/0!</v>
      </c>
      <c r="U164" s="39" t="e">
        <f t="shared" si="36"/>
        <v>#DIV/0!</v>
      </c>
      <c r="V164" s="39" t="e">
        <f t="shared" si="36"/>
        <v>#DIV/0!</v>
      </c>
      <c r="W164"/>
    </row>
    <row r="165" spans="1:23">
      <c r="A165" s="808" t="s">
        <v>1548</v>
      </c>
      <c r="B165" s="718">
        <v>1.4</v>
      </c>
      <c r="C165" s="739"/>
      <c r="D165" s="39" t="e">
        <f t="shared" si="30"/>
        <v>#DIV/0!</v>
      </c>
      <c r="E165" s="39" t="e">
        <f t="shared" si="30"/>
        <v>#DIV/0!</v>
      </c>
      <c r="F165" s="39" t="e">
        <f t="shared" si="30"/>
        <v>#DIV/0!</v>
      </c>
      <c r="G165" s="39" t="e">
        <f t="shared" si="30"/>
        <v>#DIV/0!</v>
      </c>
      <c r="H165" s="39" t="e">
        <f t="shared" si="18"/>
        <v>#DIV/0!</v>
      </c>
      <c r="I165" s="39" t="e">
        <f t="shared" si="18"/>
        <v>#DIV/0!</v>
      </c>
      <c r="J165" s="39" t="e">
        <f t="shared" si="18"/>
        <v>#DIV/0!</v>
      </c>
      <c r="K165" s="39">
        <v>3.9</v>
      </c>
      <c r="L165" s="39" t="e">
        <f t="shared" si="37"/>
        <v>#DIV/0!</v>
      </c>
      <c r="M165" s="39" t="e">
        <f t="shared" si="37"/>
        <v>#DIV/0!</v>
      </c>
      <c r="N165" s="39" t="e">
        <f t="shared" si="37"/>
        <v>#DIV/0!</v>
      </c>
      <c r="O165" s="39" t="e">
        <f t="shared" si="19"/>
        <v>#DIV/0!</v>
      </c>
      <c r="P165" s="39" t="e">
        <f t="shared" si="19"/>
        <v>#DIV/0!</v>
      </c>
      <c r="Q165" s="39" t="e">
        <f t="shared" si="35"/>
        <v>#DIV/0!</v>
      </c>
      <c r="R165" s="39" t="e">
        <f t="shared" si="35"/>
        <v>#DIV/0!</v>
      </c>
      <c r="S165" s="39" t="e">
        <f t="shared" si="35"/>
        <v>#DIV/0!</v>
      </c>
      <c r="T165" s="39" t="e">
        <f t="shared" si="35"/>
        <v>#DIV/0!</v>
      </c>
      <c r="U165" s="39" t="e">
        <f t="shared" si="36"/>
        <v>#DIV/0!</v>
      </c>
      <c r="V165" s="39" t="e">
        <f t="shared" si="36"/>
        <v>#DIV/0!</v>
      </c>
      <c r="W165"/>
    </row>
    <row r="166" spans="1:23">
      <c r="A166" s="808" t="s">
        <v>1549</v>
      </c>
      <c r="B166" s="718">
        <v>1.4</v>
      </c>
      <c r="C166" s="739"/>
      <c r="D166" s="39" t="e">
        <f t="shared" si="30"/>
        <v>#DIV/0!</v>
      </c>
      <c r="E166" s="39" t="e">
        <f t="shared" si="30"/>
        <v>#DIV/0!</v>
      </c>
      <c r="F166" s="39" t="e">
        <f t="shared" si="30"/>
        <v>#DIV/0!</v>
      </c>
      <c r="G166" s="39" t="e">
        <f t="shared" si="30"/>
        <v>#DIV/0!</v>
      </c>
      <c r="H166" s="39" t="e">
        <f t="shared" si="18"/>
        <v>#DIV/0!</v>
      </c>
      <c r="I166" s="39" t="e">
        <f t="shared" si="18"/>
        <v>#DIV/0!</v>
      </c>
      <c r="J166" s="39" t="e">
        <f t="shared" si="18"/>
        <v>#DIV/0!</v>
      </c>
      <c r="K166" s="39">
        <v>3.9</v>
      </c>
      <c r="L166" s="39" t="e">
        <f t="shared" si="37"/>
        <v>#DIV/0!</v>
      </c>
      <c r="M166" s="39" t="e">
        <f t="shared" si="37"/>
        <v>#DIV/0!</v>
      </c>
      <c r="N166" s="39" t="e">
        <f t="shared" si="37"/>
        <v>#DIV/0!</v>
      </c>
      <c r="O166" s="39" t="e">
        <f t="shared" si="19"/>
        <v>#DIV/0!</v>
      </c>
      <c r="P166" s="39" t="e">
        <f t="shared" si="19"/>
        <v>#DIV/0!</v>
      </c>
      <c r="Q166" s="39" t="e">
        <f t="shared" si="35"/>
        <v>#DIV/0!</v>
      </c>
      <c r="R166" s="39" t="e">
        <f t="shared" si="35"/>
        <v>#DIV/0!</v>
      </c>
      <c r="S166" s="39" t="e">
        <f t="shared" si="35"/>
        <v>#DIV/0!</v>
      </c>
      <c r="T166" s="39" t="e">
        <f t="shared" si="35"/>
        <v>#DIV/0!</v>
      </c>
      <c r="U166" s="39" t="e">
        <f t="shared" si="36"/>
        <v>#DIV/0!</v>
      </c>
      <c r="V166" s="39" t="e">
        <f t="shared" si="36"/>
        <v>#DIV/0!</v>
      </c>
      <c r="W166"/>
    </row>
    <row r="167" spans="1:23">
      <c r="A167" s="808" t="s">
        <v>1550</v>
      </c>
      <c r="B167" s="718">
        <v>1.4</v>
      </c>
      <c r="C167" s="739"/>
      <c r="D167" s="39" t="e">
        <f t="shared" si="30"/>
        <v>#DIV/0!</v>
      </c>
      <c r="E167" s="39" t="e">
        <f t="shared" si="30"/>
        <v>#DIV/0!</v>
      </c>
      <c r="F167" s="39" t="e">
        <f t="shared" si="30"/>
        <v>#DIV/0!</v>
      </c>
      <c r="G167" s="39" t="e">
        <f t="shared" si="30"/>
        <v>#DIV/0!</v>
      </c>
      <c r="H167" s="39" t="e">
        <f t="shared" si="18"/>
        <v>#DIV/0!</v>
      </c>
      <c r="I167" s="39" t="e">
        <f t="shared" si="18"/>
        <v>#DIV/0!</v>
      </c>
      <c r="J167" s="39" t="e">
        <f t="shared" si="18"/>
        <v>#DIV/0!</v>
      </c>
      <c r="K167" s="39">
        <v>3.9</v>
      </c>
      <c r="L167" s="39" t="e">
        <f t="shared" si="37"/>
        <v>#DIV/0!</v>
      </c>
      <c r="M167" s="39" t="e">
        <f t="shared" si="37"/>
        <v>#DIV/0!</v>
      </c>
      <c r="N167" s="39" t="e">
        <f t="shared" si="37"/>
        <v>#DIV/0!</v>
      </c>
      <c r="O167" s="39" t="e">
        <f t="shared" si="19"/>
        <v>#DIV/0!</v>
      </c>
      <c r="P167" s="39" t="e">
        <f t="shared" si="19"/>
        <v>#DIV/0!</v>
      </c>
      <c r="Q167" s="39" t="e">
        <f t="shared" si="35"/>
        <v>#DIV/0!</v>
      </c>
      <c r="R167" s="39" t="e">
        <f t="shared" si="35"/>
        <v>#DIV/0!</v>
      </c>
      <c r="S167" s="39" t="e">
        <f t="shared" si="35"/>
        <v>#DIV/0!</v>
      </c>
      <c r="T167" s="39" t="e">
        <f t="shared" si="35"/>
        <v>#DIV/0!</v>
      </c>
      <c r="U167" s="39" t="e">
        <f t="shared" si="36"/>
        <v>#DIV/0!</v>
      </c>
      <c r="V167" s="39" t="e">
        <f t="shared" si="36"/>
        <v>#DIV/0!</v>
      </c>
      <c r="W167"/>
    </row>
    <row r="168" spans="1:23">
      <c r="A168" s="808" t="s">
        <v>1551</v>
      </c>
      <c r="B168" s="718">
        <v>1.4</v>
      </c>
      <c r="C168" s="739"/>
      <c r="D168" s="39" t="e">
        <f t="shared" si="30"/>
        <v>#DIV/0!</v>
      </c>
      <c r="E168" s="39" t="e">
        <f t="shared" si="30"/>
        <v>#DIV/0!</v>
      </c>
      <c r="F168" s="39" t="e">
        <f t="shared" si="30"/>
        <v>#DIV/0!</v>
      </c>
      <c r="G168" s="39" t="e">
        <f t="shared" si="30"/>
        <v>#DIV/0!</v>
      </c>
      <c r="H168" s="39" t="e">
        <f t="shared" si="18"/>
        <v>#DIV/0!</v>
      </c>
      <c r="I168" s="39" t="e">
        <f t="shared" si="18"/>
        <v>#DIV/0!</v>
      </c>
      <c r="J168" s="39" t="e">
        <f t="shared" si="18"/>
        <v>#DIV/0!</v>
      </c>
      <c r="K168" s="39">
        <v>3.9</v>
      </c>
      <c r="L168" s="39" t="e">
        <f t="shared" si="37"/>
        <v>#DIV/0!</v>
      </c>
      <c r="M168" s="39" t="e">
        <f t="shared" si="37"/>
        <v>#DIV/0!</v>
      </c>
      <c r="N168" s="39" t="e">
        <f t="shared" si="37"/>
        <v>#DIV/0!</v>
      </c>
      <c r="O168" s="39" t="e">
        <f t="shared" si="19"/>
        <v>#DIV/0!</v>
      </c>
      <c r="P168" s="39" t="e">
        <f t="shared" si="19"/>
        <v>#DIV/0!</v>
      </c>
      <c r="Q168" s="39" t="e">
        <f t="shared" si="35"/>
        <v>#DIV/0!</v>
      </c>
      <c r="R168" s="39" t="e">
        <f t="shared" si="35"/>
        <v>#DIV/0!</v>
      </c>
      <c r="S168" s="39" t="e">
        <f t="shared" si="35"/>
        <v>#DIV/0!</v>
      </c>
      <c r="T168" s="39" t="e">
        <f t="shared" si="35"/>
        <v>#DIV/0!</v>
      </c>
      <c r="U168" s="39" t="e">
        <f t="shared" si="36"/>
        <v>#DIV/0!</v>
      </c>
      <c r="V168" s="39" t="e">
        <f t="shared" si="36"/>
        <v>#DIV/0!</v>
      </c>
      <c r="W168"/>
    </row>
    <row r="169" spans="1:23">
      <c r="A169" s="808" t="s">
        <v>1552</v>
      </c>
      <c r="B169" s="718">
        <v>1.4</v>
      </c>
      <c r="C169" s="739"/>
      <c r="D169" s="39" t="e">
        <f t="shared" si="30"/>
        <v>#DIV/0!</v>
      </c>
      <c r="E169" s="39" t="e">
        <f t="shared" si="30"/>
        <v>#DIV/0!</v>
      </c>
      <c r="F169" s="39" t="e">
        <f t="shared" si="30"/>
        <v>#DIV/0!</v>
      </c>
      <c r="G169" s="39" t="e">
        <f t="shared" si="30"/>
        <v>#DIV/0!</v>
      </c>
      <c r="H169" s="39" t="e">
        <f t="shared" si="18"/>
        <v>#DIV/0!</v>
      </c>
      <c r="I169" s="39" t="e">
        <f t="shared" si="18"/>
        <v>#DIV/0!</v>
      </c>
      <c r="J169" s="39" t="e">
        <f t="shared" si="18"/>
        <v>#DIV/0!</v>
      </c>
      <c r="K169" s="39">
        <v>3.9</v>
      </c>
      <c r="L169" s="39" t="e">
        <f t="shared" si="37"/>
        <v>#DIV/0!</v>
      </c>
      <c r="M169" s="39" t="e">
        <f t="shared" si="37"/>
        <v>#DIV/0!</v>
      </c>
      <c r="N169" s="39" t="e">
        <f t="shared" si="37"/>
        <v>#DIV/0!</v>
      </c>
      <c r="O169" s="39" t="e">
        <f t="shared" si="19"/>
        <v>#DIV/0!</v>
      </c>
      <c r="P169" s="39" t="e">
        <f t="shared" si="19"/>
        <v>#DIV/0!</v>
      </c>
      <c r="Q169" s="39" t="e">
        <f t="shared" si="35"/>
        <v>#DIV/0!</v>
      </c>
      <c r="R169" s="39" t="e">
        <f t="shared" si="35"/>
        <v>#DIV/0!</v>
      </c>
      <c r="S169" s="39" t="e">
        <f t="shared" si="35"/>
        <v>#DIV/0!</v>
      </c>
      <c r="T169" s="39" t="e">
        <f t="shared" si="35"/>
        <v>#DIV/0!</v>
      </c>
      <c r="U169" s="39" t="e">
        <f t="shared" si="36"/>
        <v>#DIV/0!</v>
      </c>
      <c r="V169" s="39" t="e">
        <f t="shared" si="36"/>
        <v>#DIV/0!</v>
      </c>
      <c r="W169"/>
    </row>
    <row r="170" spans="1:23">
      <c r="A170" s="808" t="s">
        <v>1553</v>
      </c>
      <c r="B170" s="718">
        <v>1.4</v>
      </c>
      <c r="C170" s="739"/>
      <c r="D170" s="39" t="e">
        <f t="shared" si="30"/>
        <v>#DIV/0!</v>
      </c>
      <c r="E170" s="39" t="e">
        <f t="shared" si="30"/>
        <v>#DIV/0!</v>
      </c>
      <c r="F170" s="39" t="e">
        <f t="shared" si="30"/>
        <v>#DIV/0!</v>
      </c>
      <c r="G170" s="39" t="e">
        <f t="shared" si="30"/>
        <v>#DIV/0!</v>
      </c>
      <c r="H170" s="39" t="e">
        <f t="shared" si="18"/>
        <v>#DIV/0!</v>
      </c>
      <c r="I170" s="39" t="e">
        <f t="shared" si="18"/>
        <v>#DIV/0!</v>
      </c>
      <c r="J170" s="39" t="e">
        <f t="shared" si="18"/>
        <v>#DIV/0!</v>
      </c>
      <c r="K170" s="39">
        <v>3.9</v>
      </c>
      <c r="L170" s="39" t="e">
        <f t="shared" si="37"/>
        <v>#DIV/0!</v>
      </c>
      <c r="M170" s="39" t="e">
        <f t="shared" si="37"/>
        <v>#DIV/0!</v>
      </c>
      <c r="N170" s="39" t="e">
        <f t="shared" si="37"/>
        <v>#DIV/0!</v>
      </c>
      <c r="O170" s="39" t="e">
        <f t="shared" si="19"/>
        <v>#DIV/0!</v>
      </c>
      <c r="P170" s="39" t="e">
        <f t="shared" si="19"/>
        <v>#DIV/0!</v>
      </c>
      <c r="Q170" s="39" t="e">
        <f t="shared" si="35"/>
        <v>#DIV/0!</v>
      </c>
      <c r="R170" s="39" t="e">
        <f t="shared" si="35"/>
        <v>#DIV/0!</v>
      </c>
      <c r="S170" s="39" t="e">
        <f t="shared" si="35"/>
        <v>#DIV/0!</v>
      </c>
      <c r="T170" s="39" t="e">
        <f t="shared" si="35"/>
        <v>#DIV/0!</v>
      </c>
      <c r="U170" s="39" t="e">
        <f t="shared" si="36"/>
        <v>#DIV/0!</v>
      </c>
      <c r="V170" s="39" t="e">
        <f t="shared" si="36"/>
        <v>#DIV/0!</v>
      </c>
      <c r="W170"/>
    </row>
    <row r="171" spans="1:23">
      <c r="A171" s="808" t="s">
        <v>1554</v>
      </c>
      <c r="B171" s="718">
        <v>1.4</v>
      </c>
      <c r="C171" s="739"/>
      <c r="D171" s="39" t="e">
        <f t="shared" si="30"/>
        <v>#DIV/0!</v>
      </c>
      <c r="E171" s="39" t="e">
        <f t="shared" si="30"/>
        <v>#DIV/0!</v>
      </c>
      <c r="F171" s="39" t="e">
        <f t="shared" si="30"/>
        <v>#DIV/0!</v>
      </c>
      <c r="G171" s="39" t="e">
        <f t="shared" si="30"/>
        <v>#DIV/0!</v>
      </c>
      <c r="H171" s="39" t="e">
        <f t="shared" ref="H171:K202" si="38">1/0</f>
        <v>#DIV/0!</v>
      </c>
      <c r="I171" s="39" t="e">
        <f t="shared" si="38"/>
        <v>#DIV/0!</v>
      </c>
      <c r="J171" s="39" t="e">
        <f t="shared" si="38"/>
        <v>#DIV/0!</v>
      </c>
      <c r="K171" s="39">
        <v>3.9</v>
      </c>
      <c r="L171" s="39" t="e">
        <f t="shared" si="37"/>
        <v>#DIV/0!</v>
      </c>
      <c r="M171" s="39" t="e">
        <f t="shared" si="37"/>
        <v>#DIV/0!</v>
      </c>
      <c r="N171" s="39" t="e">
        <f t="shared" si="37"/>
        <v>#DIV/0!</v>
      </c>
      <c r="O171" s="39" t="e">
        <f t="shared" si="19"/>
        <v>#DIV/0!</v>
      </c>
      <c r="P171" s="39" t="e">
        <f t="shared" si="19"/>
        <v>#DIV/0!</v>
      </c>
      <c r="Q171" s="39" t="e">
        <f t="shared" si="35"/>
        <v>#DIV/0!</v>
      </c>
      <c r="R171" s="39" t="e">
        <f t="shared" si="35"/>
        <v>#DIV/0!</v>
      </c>
      <c r="S171" s="39" t="e">
        <f t="shared" si="35"/>
        <v>#DIV/0!</v>
      </c>
      <c r="T171" s="39" t="e">
        <f t="shared" si="35"/>
        <v>#DIV/0!</v>
      </c>
      <c r="U171" s="39" t="e">
        <f t="shared" si="36"/>
        <v>#DIV/0!</v>
      </c>
      <c r="V171" s="39" t="e">
        <f t="shared" si="36"/>
        <v>#DIV/0!</v>
      </c>
      <c r="W171"/>
    </row>
    <row r="172" spans="1:23" s="39" customFormat="1">
      <c r="A172" s="808" t="s">
        <v>1555</v>
      </c>
      <c r="B172" s="718">
        <v>1.4</v>
      </c>
      <c r="C172" s="739"/>
      <c r="D172" s="39" t="e">
        <f t="shared" ref="D172:J175" si="39">1/0</f>
        <v>#DIV/0!</v>
      </c>
      <c r="E172" s="39" t="e">
        <f t="shared" si="39"/>
        <v>#DIV/0!</v>
      </c>
      <c r="F172" s="39" t="e">
        <f t="shared" si="39"/>
        <v>#DIV/0!</v>
      </c>
      <c r="G172" s="39" t="e">
        <f t="shared" si="39"/>
        <v>#DIV/0!</v>
      </c>
      <c r="H172" s="39" t="e">
        <f t="shared" si="39"/>
        <v>#DIV/0!</v>
      </c>
      <c r="I172" s="39" t="e">
        <f t="shared" si="39"/>
        <v>#DIV/0!</v>
      </c>
      <c r="J172" s="39" t="e">
        <f t="shared" si="39"/>
        <v>#DIV/0!</v>
      </c>
      <c r="K172" s="39">
        <v>3.9</v>
      </c>
      <c r="L172" s="39" t="e">
        <f t="shared" si="37"/>
        <v>#DIV/0!</v>
      </c>
      <c r="M172" s="39" t="e">
        <f t="shared" si="37"/>
        <v>#DIV/0!</v>
      </c>
      <c r="N172" s="39" t="e">
        <f t="shared" si="37"/>
        <v>#DIV/0!</v>
      </c>
      <c r="O172" s="39" t="e">
        <f t="shared" si="19"/>
        <v>#DIV/0!</v>
      </c>
      <c r="P172" s="39" t="e">
        <f t="shared" si="19"/>
        <v>#DIV/0!</v>
      </c>
      <c r="Q172" s="39" t="e">
        <f t="shared" si="19"/>
        <v>#DIV/0!</v>
      </c>
      <c r="R172" s="39" t="e">
        <f t="shared" si="19"/>
        <v>#DIV/0!</v>
      </c>
      <c r="S172" s="39" t="e">
        <f t="shared" si="19"/>
        <v>#DIV/0!</v>
      </c>
      <c r="T172" s="39" t="e">
        <f t="shared" si="19"/>
        <v>#DIV/0!</v>
      </c>
      <c r="U172" s="39" t="e">
        <f t="shared" si="36"/>
        <v>#DIV/0!</v>
      </c>
      <c r="V172" s="39" t="e">
        <f t="shared" si="36"/>
        <v>#DIV/0!</v>
      </c>
    </row>
    <row r="173" spans="1:23" s="39" customFormat="1">
      <c r="A173" s="808" t="s">
        <v>1556</v>
      </c>
      <c r="B173" s="718">
        <v>1.4</v>
      </c>
      <c r="C173" s="739"/>
      <c r="D173" s="39" t="e">
        <f t="shared" si="39"/>
        <v>#DIV/0!</v>
      </c>
      <c r="E173" s="39" t="e">
        <f t="shared" si="39"/>
        <v>#DIV/0!</v>
      </c>
      <c r="F173" s="39" t="e">
        <f t="shared" si="39"/>
        <v>#DIV/0!</v>
      </c>
      <c r="G173" s="39" t="e">
        <f t="shared" si="39"/>
        <v>#DIV/0!</v>
      </c>
      <c r="H173" s="39" t="e">
        <f t="shared" si="39"/>
        <v>#DIV/0!</v>
      </c>
      <c r="I173" s="39" t="e">
        <f t="shared" si="39"/>
        <v>#DIV/0!</v>
      </c>
      <c r="J173" s="39" t="e">
        <f t="shared" si="39"/>
        <v>#DIV/0!</v>
      </c>
      <c r="K173" s="39">
        <v>3.9</v>
      </c>
      <c r="L173" s="39" t="e">
        <f t="shared" si="37"/>
        <v>#DIV/0!</v>
      </c>
      <c r="M173" s="39" t="e">
        <f t="shared" si="37"/>
        <v>#DIV/0!</v>
      </c>
      <c r="N173" s="39" t="e">
        <f t="shared" si="37"/>
        <v>#DIV/0!</v>
      </c>
      <c r="O173" s="39" t="e">
        <f t="shared" si="19"/>
        <v>#DIV/0!</v>
      </c>
      <c r="P173" s="39" t="e">
        <f t="shared" si="19"/>
        <v>#DIV/0!</v>
      </c>
      <c r="Q173" s="39" t="e">
        <f t="shared" si="19"/>
        <v>#DIV/0!</v>
      </c>
      <c r="R173" s="39" t="e">
        <f t="shared" si="19"/>
        <v>#DIV/0!</v>
      </c>
      <c r="S173" s="39" t="e">
        <f t="shared" si="19"/>
        <v>#DIV/0!</v>
      </c>
      <c r="T173" s="39" t="e">
        <f t="shared" si="19"/>
        <v>#DIV/0!</v>
      </c>
      <c r="U173" s="39" t="e">
        <f t="shared" si="36"/>
        <v>#DIV/0!</v>
      </c>
      <c r="V173" s="39" t="e">
        <f t="shared" si="36"/>
        <v>#DIV/0!</v>
      </c>
    </row>
    <row r="174" spans="1:23" s="39" customFormat="1">
      <c r="A174" s="808" t="s">
        <v>1557</v>
      </c>
      <c r="B174" s="718">
        <v>1.4</v>
      </c>
      <c r="C174" s="739"/>
      <c r="D174" s="39" t="e">
        <f t="shared" si="39"/>
        <v>#DIV/0!</v>
      </c>
      <c r="E174" s="39" t="e">
        <f t="shared" si="39"/>
        <v>#DIV/0!</v>
      </c>
      <c r="F174" s="39" t="e">
        <f t="shared" si="39"/>
        <v>#DIV/0!</v>
      </c>
      <c r="G174" s="39" t="e">
        <f t="shared" si="39"/>
        <v>#DIV/0!</v>
      </c>
      <c r="H174" s="39" t="e">
        <f t="shared" si="39"/>
        <v>#DIV/0!</v>
      </c>
      <c r="I174" s="39" t="e">
        <f t="shared" si="39"/>
        <v>#DIV/0!</v>
      </c>
      <c r="J174" s="39" t="e">
        <f t="shared" si="39"/>
        <v>#DIV/0!</v>
      </c>
      <c r="K174" s="39">
        <v>3.9</v>
      </c>
      <c r="L174" s="39" t="e">
        <f t="shared" si="37"/>
        <v>#DIV/0!</v>
      </c>
      <c r="M174" s="39" t="e">
        <f t="shared" si="37"/>
        <v>#DIV/0!</v>
      </c>
      <c r="N174" s="39" t="e">
        <f t="shared" si="37"/>
        <v>#DIV/0!</v>
      </c>
      <c r="O174" s="39" t="e">
        <f t="shared" si="19"/>
        <v>#DIV/0!</v>
      </c>
      <c r="P174" s="39" t="e">
        <f t="shared" si="19"/>
        <v>#DIV/0!</v>
      </c>
      <c r="Q174" s="39" t="e">
        <f t="shared" si="19"/>
        <v>#DIV/0!</v>
      </c>
      <c r="R174" s="39" t="e">
        <f t="shared" si="19"/>
        <v>#DIV/0!</v>
      </c>
      <c r="S174" s="39" t="e">
        <f t="shared" si="19"/>
        <v>#DIV/0!</v>
      </c>
      <c r="T174" s="39" t="e">
        <f t="shared" si="19"/>
        <v>#DIV/0!</v>
      </c>
      <c r="U174" s="39" t="e">
        <f t="shared" si="36"/>
        <v>#DIV/0!</v>
      </c>
      <c r="V174" s="39" t="e">
        <f t="shared" si="36"/>
        <v>#DIV/0!</v>
      </c>
    </row>
    <row r="175" spans="1:23" s="39" customFormat="1" ht="15.75" thickBot="1">
      <c r="A175" s="808" t="s">
        <v>1558</v>
      </c>
      <c r="B175" s="718">
        <v>1.4</v>
      </c>
      <c r="C175" s="739"/>
      <c r="D175" s="39" t="e">
        <f t="shared" si="39"/>
        <v>#DIV/0!</v>
      </c>
      <c r="E175" s="39" t="e">
        <f t="shared" si="39"/>
        <v>#DIV/0!</v>
      </c>
      <c r="F175" s="39" t="e">
        <f t="shared" si="39"/>
        <v>#DIV/0!</v>
      </c>
      <c r="G175" s="39" t="e">
        <f t="shared" si="39"/>
        <v>#DIV/0!</v>
      </c>
      <c r="H175" s="39" t="e">
        <f t="shared" si="39"/>
        <v>#DIV/0!</v>
      </c>
      <c r="I175" s="39" t="e">
        <f t="shared" si="39"/>
        <v>#DIV/0!</v>
      </c>
      <c r="J175" s="39" t="e">
        <f t="shared" si="39"/>
        <v>#DIV/0!</v>
      </c>
      <c r="K175" s="39">
        <v>3.9</v>
      </c>
      <c r="L175" s="39" t="e">
        <f t="shared" si="37"/>
        <v>#DIV/0!</v>
      </c>
      <c r="M175" s="39" t="e">
        <f t="shared" si="37"/>
        <v>#DIV/0!</v>
      </c>
      <c r="N175" s="39" t="e">
        <f t="shared" si="37"/>
        <v>#DIV/0!</v>
      </c>
      <c r="O175" s="39" t="e">
        <f t="shared" si="19"/>
        <v>#DIV/0!</v>
      </c>
      <c r="P175" s="39" t="e">
        <f t="shared" si="19"/>
        <v>#DIV/0!</v>
      </c>
      <c r="Q175" s="39" t="e">
        <f t="shared" si="19"/>
        <v>#DIV/0!</v>
      </c>
      <c r="R175" s="39" t="e">
        <f t="shared" si="19"/>
        <v>#DIV/0!</v>
      </c>
      <c r="S175" s="39" t="e">
        <f t="shared" si="19"/>
        <v>#DIV/0!</v>
      </c>
      <c r="T175" s="39" t="e">
        <f t="shared" si="19"/>
        <v>#DIV/0!</v>
      </c>
      <c r="U175" s="39" t="e">
        <f t="shared" si="36"/>
        <v>#DIV/0!</v>
      </c>
      <c r="V175" s="39" t="e">
        <f t="shared" si="36"/>
        <v>#DIV/0!</v>
      </c>
    </row>
    <row r="176" spans="1:23" ht="15.75" thickBot="1">
      <c r="A176" s="808" t="s">
        <v>1559</v>
      </c>
      <c r="B176" s="717">
        <v>1.4</v>
      </c>
      <c r="C176" s="739"/>
      <c r="D176" s="39" t="e">
        <f t="shared" si="30"/>
        <v>#DIV/0!</v>
      </c>
      <c r="E176" s="39" t="e">
        <f t="shared" si="30"/>
        <v>#DIV/0!</v>
      </c>
      <c r="F176" s="39" t="e">
        <f t="shared" si="30"/>
        <v>#DIV/0!</v>
      </c>
      <c r="G176" s="39" t="e">
        <f t="shared" si="30"/>
        <v>#DIV/0!</v>
      </c>
      <c r="H176" s="39" t="e">
        <f t="shared" si="38"/>
        <v>#DIV/0!</v>
      </c>
      <c r="I176" s="39" t="e">
        <f t="shared" si="38"/>
        <v>#DIV/0!</v>
      </c>
      <c r="J176" s="39" t="e">
        <f t="shared" si="38"/>
        <v>#DIV/0!</v>
      </c>
      <c r="K176" s="39" t="e">
        <f t="shared" si="38"/>
        <v>#DIV/0!</v>
      </c>
      <c r="L176" s="39">
        <v>6.2</v>
      </c>
      <c r="M176" s="39" t="e">
        <f t="shared" si="37"/>
        <v>#DIV/0!</v>
      </c>
      <c r="N176" s="39" t="e">
        <f t="shared" si="37"/>
        <v>#DIV/0!</v>
      </c>
      <c r="O176" s="39" t="e">
        <f t="shared" si="19"/>
        <v>#DIV/0!</v>
      </c>
      <c r="P176" s="39" t="e">
        <f t="shared" si="19"/>
        <v>#DIV/0!</v>
      </c>
      <c r="Q176" s="39" t="e">
        <f t="shared" si="35"/>
        <v>#DIV/0!</v>
      </c>
      <c r="R176" s="39" t="e">
        <f t="shared" si="35"/>
        <v>#DIV/0!</v>
      </c>
      <c r="S176" s="39" t="e">
        <f t="shared" si="35"/>
        <v>#DIV/0!</v>
      </c>
      <c r="T176" s="39" t="e">
        <f t="shared" si="35"/>
        <v>#DIV/0!</v>
      </c>
      <c r="U176" s="39" t="e">
        <f t="shared" si="36"/>
        <v>#DIV/0!</v>
      </c>
      <c r="V176" s="39" t="e">
        <f t="shared" si="36"/>
        <v>#DIV/0!</v>
      </c>
      <c r="W176"/>
    </row>
    <row r="177" spans="1:23" ht="15.75" thickBot="1">
      <c r="A177" s="808" t="s">
        <v>1576</v>
      </c>
      <c r="B177" s="717">
        <v>1.4</v>
      </c>
      <c r="C177" s="739"/>
      <c r="D177" s="39" t="e">
        <f t="shared" si="30"/>
        <v>#DIV/0!</v>
      </c>
      <c r="E177" s="39" t="e">
        <f t="shared" si="30"/>
        <v>#DIV/0!</v>
      </c>
      <c r="F177" s="39" t="e">
        <f t="shared" si="30"/>
        <v>#DIV/0!</v>
      </c>
      <c r="G177" s="39" t="e">
        <f t="shared" si="30"/>
        <v>#DIV/0!</v>
      </c>
      <c r="H177" s="39" t="e">
        <f t="shared" si="38"/>
        <v>#DIV/0!</v>
      </c>
      <c r="I177" s="39" t="e">
        <f t="shared" si="38"/>
        <v>#DIV/0!</v>
      </c>
      <c r="J177" s="39" t="e">
        <f t="shared" si="38"/>
        <v>#DIV/0!</v>
      </c>
      <c r="K177" s="39" t="e">
        <f t="shared" si="38"/>
        <v>#DIV/0!</v>
      </c>
      <c r="L177" s="39" t="e">
        <f t="shared" ref="L177:N205" si="40">1/0</f>
        <v>#DIV/0!</v>
      </c>
      <c r="M177" s="39">
        <v>2.95</v>
      </c>
      <c r="N177" s="39" t="e">
        <f t="shared" ref="N177:N191" si="41">1/0</f>
        <v>#DIV/0!</v>
      </c>
      <c r="O177" s="39" t="e">
        <f t="shared" ref="O177:P205" si="42">1/0</f>
        <v>#DIV/0!</v>
      </c>
      <c r="P177" s="39" t="e">
        <f t="shared" si="42"/>
        <v>#DIV/0!</v>
      </c>
      <c r="Q177" s="39" t="e">
        <f t="shared" si="35"/>
        <v>#DIV/0!</v>
      </c>
      <c r="R177" s="39" t="e">
        <f t="shared" si="35"/>
        <v>#DIV/0!</v>
      </c>
      <c r="S177" s="39" t="e">
        <f t="shared" si="35"/>
        <v>#DIV/0!</v>
      </c>
      <c r="T177" s="39" t="e">
        <f t="shared" si="35"/>
        <v>#DIV/0!</v>
      </c>
      <c r="U177" s="39" t="e">
        <f t="shared" si="36"/>
        <v>#DIV/0!</v>
      </c>
      <c r="V177" s="39" t="e">
        <f t="shared" si="36"/>
        <v>#DIV/0!</v>
      </c>
      <c r="W177"/>
    </row>
    <row r="178" spans="1:23" ht="15.75" thickBot="1">
      <c r="A178" s="808" t="s">
        <v>1577</v>
      </c>
      <c r="B178" s="717">
        <v>1.4</v>
      </c>
      <c r="C178" s="739"/>
      <c r="D178" s="39" t="e">
        <f t="shared" si="30"/>
        <v>#DIV/0!</v>
      </c>
      <c r="E178" s="39" t="e">
        <f t="shared" si="30"/>
        <v>#DIV/0!</v>
      </c>
      <c r="F178" s="39" t="e">
        <f t="shared" si="30"/>
        <v>#DIV/0!</v>
      </c>
      <c r="G178" s="39" t="e">
        <f t="shared" si="30"/>
        <v>#DIV/0!</v>
      </c>
      <c r="H178" s="39" t="e">
        <f t="shared" si="38"/>
        <v>#DIV/0!</v>
      </c>
      <c r="I178" s="39" t="e">
        <f t="shared" si="38"/>
        <v>#DIV/0!</v>
      </c>
      <c r="J178" s="39" t="e">
        <f t="shared" si="38"/>
        <v>#DIV/0!</v>
      </c>
      <c r="K178" s="39" t="e">
        <f t="shared" si="38"/>
        <v>#DIV/0!</v>
      </c>
      <c r="L178" s="39" t="e">
        <f t="shared" si="40"/>
        <v>#DIV/0!</v>
      </c>
      <c r="M178" s="39">
        <v>2.95</v>
      </c>
      <c r="N178" s="39" t="e">
        <f t="shared" si="41"/>
        <v>#DIV/0!</v>
      </c>
      <c r="O178" s="39" t="e">
        <f t="shared" si="42"/>
        <v>#DIV/0!</v>
      </c>
      <c r="P178" s="39" t="e">
        <f t="shared" si="42"/>
        <v>#DIV/0!</v>
      </c>
      <c r="Q178" s="39" t="e">
        <f t="shared" si="35"/>
        <v>#DIV/0!</v>
      </c>
      <c r="R178" s="39" t="e">
        <f t="shared" si="35"/>
        <v>#DIV/0!</v>
      </c>
      <c r="S178" s="39" t="e">
        <f t="shared" si="35"/>
        <v>#DIV/0!</v>
      </c>
      <c r="T178" s="39" t="e">
        <f t="shared" si="35"/>
        <v>#DIV/0!</v>
      </c>
      <c r="U178" s="39" t="e">
        <f t="shared" si="36"/>
        <v>#DIV/0!</v>
      </c>
      <c r="V178" s="39" t="e">
        <f t="shared" si="36"/>
        <v>#DIV/0!</v>
      </c>
      <c r="W178"/>
    </row>
    <row r="179" spans="1:23" ht="15.75" thickBot="1">
      <c r="A179" s="808" t="s">
        <v>1578</v>
      </c>
      <c r="B179" s="717">
        <v>1.4</v>
      </c>
      <c r="C179" s="739"/>
      <c r="D179" s="39" t="e">
        <f t="shared" si="30"/>
        <v>#DIV/0!</v>
      </c>
      <c r="E179" s="39" t="e">
        <f t="shared" si="30"/>
        <v>#DIV/0!</v>
      </c>
      <c r="F179" s="39" t="e">
        <f t="shared" si="30"/>
        <v>#DIV/0!</v>
      </c>
      <c r="G179" s="39" t="e">
        <f t="shared" si="30"/>
        <v>#DIV/0!</v>
      </c>
      <c r="H179" s="39" t="e">
        <f t="shared" si="38"/>
        <v>#DIV/0!</v>
      </c>
      <c r="I179" s="39" t="e">
        <f t="shared" si="38"/>
        <v>#DIV/0!</v>
      </c>
      <c r="J179" s="39" t="e">
        <f t="shared" si="38"/>
        <v>#DIV/0!</v>
      </c>
      <c r="K179" s="39" t="e">
        <f t="shared" si="38"/>
        <v>#DIV/0!</v>
      </c>
      <c r="L179" s="39" t="e">
        <f t="shared" si="40"/>
        <v>#DIV/0!</v>
      </c>
      <c r="M179" s="39">
        <v>2.95</v>
      </c>
      <c r="N179" s="39" t="e">
        <f t="shared" si="41"/>
        <v>#DIV/0!</v>
      </c>
      <c r="O179" s="39" t="e">
        <f t="shared" si="42"/>
        <v>#DIV/0!</v>
      </c>
      <c r="P179" s="39" t="e">
        <f t="shared" si="42"/>
        <v>#DIV/0!</v>
      </c>
      <c r="Q179" s="39" t="e">
        <f t="shared" si="35"/>
        <v>#DIV/0!</v>
      </c>
      <c r="R179" s="39" t="e">
        <f t="shared" si="35"/>
        <v>#DIV/0!</v>
      </c>
      <c r="S179" s="39" t="e">
        <f t="shared" si="35"/>
        <v>#DIV/0!</v>
      </c>
      <c r="T179" s="39" t="e">
        <f t="shared" si="35"/>
        <v>#DIV/0!</v>
      </c>
      <c r="U179" s="39" t="e">
        <f t="shared" si="36"/>
        <v>#DIV/0!</v>
      </c>
      <c r="V179" s="39" t="e">
        <f t="shared" si="36"/>
        <v>#DIV/0!</v>
      </c>
      <c r="W179"/>
    </row>
    <row r="180" spans="1:23" ht="15.75" thickBot="1">
      <c r="A180" s="808" t="s">
        <v>1579</v>
      </c>
      <c r="B180" s="717">
        <v>1.4</v>
      </c>
      <c r="C180" s="739"/>
      <c r="D180" s="39" t="e">
        <f t="shared" si="30"/>
        <v>#DIV/0!</v>
      </c>
      <c r="E180" s="39" t="e">
        <f t="shared" si="30"/>
        <v>#DIV/0!</v>
      </c>
      <c r="F180" s="39" t="e">
        <f t="shared" si="30"/>
        <v>#DIV/0!</v>
      </c>
      <c r="G180" s="39" t="e">
        <f t="shared" si="30"/>
        <v>#DIV/0!</v>
      </c>
      <c r="H180" s="39" t="e">
        <f t="shared" si="38"/>
        <v>#DIV/0!</v>
      </c>
      <c r="I180" s="39" t="e">
        <f t="shared" si="38"/>
        <v>#DIV/0!</v>
      </c>
      <c r="J180" s="39" t="e">
        <f t="shared" si="38"/>
        <v>#DIV/0!</v>
      </c>
      <c r="K180" s="39" t="e">
        <f t="shared" si="38"/>
        <v>#DIV/0!</v>
      </c>
      <c r="L180" s="39" t="e">
        <f t="shared" si="40"/>
        <v>#DIV/0!</v>
      </c>
      <c r="M180" s="39">
        <v>2.95</v>
      </c>
      <c r="N180" s="39" t="e">
        <f t="shared" si="41"/>
        <v>#DIV/0!</v>
      </c>
      <c r="O180" s="39" t="e">
        <f t="shared" si="42"/>
        <v>#DIV/0!</v>
      </c>
      <c r="P180" s="39" t="e">
        <f t="shared" si="42"/>
        <v>#DIV/0!</v>
      </c>
      <c r="Q180" s="39" t="e">
        <f t="shared" si="35"/>
        <v>#DIV/0!</v>
      </c>
      <c r="R180" s="39" t="e">
        <f t="shared" si="35"/>
        <v>#DIV/0!</v>
      </c>
      <c r="S180" s="39" t="e">
        <f t="shared" si="35"/>
        <v>#DIV/0!</v>
      </c>
      <c r="T180" s="39" t="e">
        <f t="shared" si="35"/>
        <v>#DIV/0!</v>
      </c>
      <c r="U180" s="39" t="e">
        <f t="shared" si="36"/>
        <v>#DIV/0!</v>
      </c>
      <c r="V180" s="39" t="e">
        <f t="shared" si="36"/>
        <v>#DIV/0!</v>
      </c>
      <c r="W180"/>
    </row>
    <row r="181" spans="1:23" ht="15.75" thickBot="1">
      <c r="A181" s="808" t="s">
        <v>1580</v>
      </c>
      <c r="B181" s="717">
        <v>1.4</v>
      </c>
      <c r="C181" s="739"/>
      <c r="D181" s="39" t="e">
        <f t="shared" si="30"/>
        <v>#DIV/0!</v>
      </c>
      <c r="E181" s="39" t="e">
        <f t="shared" si="30"/>
        <v>#DIV/0!</v>
      </c>
      <c r="F181" s="39" t="e">
        <f t="shared" si="30"/>
        <v>#DIV/0!</v>
      </c>
      <c r="G181" s="39" t="e">
        <f t="shared" si="30"/>
        <v>#DIV/0!</v>
      </c>
      <c r="H181" s="39" t="e">
        <f t="shared" si="38"/>
        <v>#DIV/0!</v>
      </c>
      <c r="I181" s="39" t="e">
        <f t="shared" si="38"/>
        <v>#DIV/0!</v>
      </c>
      <c r="J181" s="39" t="e">
        <f t="shared" si="38"/>
        <v>#DIV/0!</v>
      </c>
      <c r="K181" s="39" t="e">
        <f t="shared" si="38"/>
        <v>#DIV/0!</v>
      </c>
      <c r="L181" s="39" t="e">
        <f t="shared" si="40"/>
        <v>#DIV/0!</v>
      </c>
      <c r="M181" s="39">
        <v>2.95</v>
      </c>
      <c r="N181" s="39" t="e">
        <f t="shared" si="41"/>
        <v>#DIV/0!</v>
      </c>
      <c r="O181" s="39" t="e">
        <f t="shared" si="42"/>
        <v>#DIV/0!</v>
      </c>
      <c r="P181" s="39" t="e">
        <f t="shared" si="42"/>
        <v>#DIV/0!</v>
      </c>
      <c r="Q181" s="39" t="e">
        <f t="shared" si="35"/>
        <v>#DIV/0!</v>
      </c>
      <c r="R181" s="39" t="e">
        <f t="shared" si="35"/>
        <v>#DIV/0!</v>
      </c>
      <c r="S181" s="39" t="e">
        <f t="shared" si="35"/>
        <v>#DIV/0!</v>
      </c>
      <c r="T181" s="39" t="e">
        <f t="shared" si="35"/>
        <v>#DIV/0!</v>
      </c>
      <c r="U181" s="39" t="e">
        <f t="shared" si="36"/>
        <v>#DIV/0!</v>
      </c>
      <c r="V181" s="39" t="e">
        <f t="shared" si="36"/>
        <v>#DIV/0!</v>
      </c>
      <c r="W181"/>
    </row>
    <row r="182" spans="1:23" ht="15.75" thickBot="1">
      <c r="A182" s="808" t="s">
        <v>1581</v>
      </c>
      <c r="B182" s="717">
        <v>1.4</v>
      </c>
      <c r="C182" s="739"/>
      <c r="D182" s="39" t="e">
        <f t="shared" si="30"/>
        <v>#DIV/0!</v>
      </c>
      <c r="E182" s="39" t="e">
        <f t="shared" si="30"/>
        <v>#DIV/0!</v>
      </c>
      <c r="F182" s="39" t="e">
        <f t="shared" si="30"/>
        <v>#DIV/0!</v>
      </c>
      <c r="G182" s="39" t="e">
        <f t="shared" si="30"/>
        <v>#DIV/0!</v>
      </c>
      <c r="H182" s="39" t="e">
        <f t="shared" si="38"/>
        <v>#DIV/0!</v>
      </c>
      <c r="I182" s="39" t="e">
        <f t="shared" si="38"/>
        <v>#DIV/0!</v>
      </c>
      <c r="J182" s="39" t="e">
        <f t="shared" si="38"/>
        <v>#DIV/0!</v>
      </c>
      <c r="K182" s="39" t="e">
        <f t="shared" si="38"/>
        <v>#DIV/0!</v>
      </c>
      <c r="L182" s="39" t="e">
        <f t="shared" si="40"/>
        <v>#DIV/0!</v>
      </c>
      <c r="M182" s="39">
        <v>2.95</v>
      </c>
      <c r="N182" s="39" t="e">
        <f t="shared" si="41"/>
        <v>#DIV/0!</v>
      </c>
      <c r="O182" s="39" t="e">
        <f t="shared" si="42"/>
        <v>#DIV/0!</v>
      </c>
      <c r="P182" s="39" t="e">
        <f t="shared" si="42"/>
        <v>#DIV/0!</v>
      </c>
      <c r="Q182" s="39" t="e">
        <f t="shared" si="35"/>
        <v>#DIV/0!</v>
      </c>
      <c r="R182" s="39" t="e">
        <f t="shared" si="35"/>
        <v>#DIV/0!</v>
      </c>
      <c r="S182" s="39" t="e">
        <f t="shared" si="35"/>
        <v>#DIV/0!</v>
      </c>
      <c r="T182" s="39" t="e">
        <f t="shared" si="35"/>
        <v>#DIV/0!</v>
      </c>
      <c r="U182" s="39" t="e">
        <f t="shared" si="36"/>
        <v>#DIV/0!</v>
      </c>
      <c r="V182" s="39" t="e">
        <f t="shared" si="36"/>
        <v>#DIV/0!</v>
      </c>
      <c r="W182"/>
    </row>
    <row r="183" spans="1:23" ht="15.75" thickBot="1">
      <c r="A183" s="808" t="s">
        <v>1582</v>
      </c>
      <c r="B183" s="717">
        <v>1.4</v>
      </c>
      <c r="C183" s="739"/>
      <c r="D183" s="39" t="e">
        <f t="shared" si="30"/>
        <v>#DIV/0!</v>
      </c>
      <c r="E183" s="39" t="e">
        <f t="shared" si="30"/>
        <v>#DIV/0!</v>
      </c>
      <c r="F183" s="39" t="e">
        <f t="shared" si="30"/>
        <v>#DIV/0!</v>
      </c>
      <c r="G183" s="39" t="e">
        <f t="shared" si="30"/>
        <v>#DIV/0!</v>
      </c>
      <c r="H183" s="39" t="e">
        <f t="shared" si="38"/>
        <v>#DIV/0!</v>
      </c>
      <c r="I183" s="39" t="e">
        <f t="shared" si="38"/>
        <v>#DIV/0!</v>
      </c>
      <c r="J183" s="39" t="e">
        <f t="shared" si="38"/>
        <v>#DIV/0!</v>
      </c>
      <c r="K183" s="39" t="e">
        <f t="shared" si="38"/>
        <v>#DIV/0!</v>
      </c>
      <c r="L183" s="39" t="e">
        <f t="shared" si="40"/>
        <v>#DIV/0!</v>
      </c>
      <c r="M183" s="39">
        <v>2.95</v>
      </c>
      <c r="N183" s="39" t="e">
        <f t="shared" si="41"/>
        <v>#DIV/0!</v>
      </c>
      <c r="O183" s="39" t="e">
        <f t="shared" si="42"/>
        <v>#DIV/0!</v>
      </c>
      <c r="P183" s="39" t="e">
        <f t="shared" si="42"/>
        <v>#DIV/0!</v>
      </c>
      <c r="Q183" s="39" t="e">
        <f t="shared" si="35"/>
        <v>#DIV/0!</v>
      </c>
      <c r="R183" s="39" t="e">
        <f t="shared" si="35"/>
        <v>#DIV/0!</v>
      </c>
      <c r="S183" s="39" t="e">
        <f t="shared" si="35"/>
        <v>#DIV/0!</v>
      </c>
      <c r="T183" s="39" t="e">
        <f t="shared" si="35"/>
        <v>#DIV/0!</v>
      </c>
      <c r="U183" s="39" t="e">
        <f t="shared" si="36"/>
        <v>#DIV/0!</v>
      </c>
      <c r="V183" s="39" t="e">
        <f t="shared" si="36"/>
        <v>#DIV/0!</v>
      </c>
      <c r="W183"/>
    </row>
    <row r="184" spans="1:23" ht="15.75" thickBot="1">
      <c r="A184" s="808" t="s">
        <v>1583</v>
      </c>
      <c r="B184" s="717">
        <v>1.4</v>
      </c>
      <c r="C184" s="739"/>
      <c r="D184" s="39" t="e">
        <f t="shared" si="30"/>
        <v>#DIV/0!</v>
      </c>
      <c r="E184" s="39" t="e">
        <f t="shared" si="30"/>
        <v>#DIV/0!</v>
      </c>
      <c r="F184" s="39" t="e">
        <f t="shared" si="30"/>
        <v>#DIV/0!</v>
      </c>
      <c r="G184" s="39" t="e">
        <f t="shared" si="30"/>
        <v>#DIV/0!</v>
      </c>
      <c r="H184" s="39" t="e">
        <f t="shared" si="38"/>
        <v>#DIV/0!</v>
      </c>
      <c r="I184" s="39" t="e">
        <f t="shared" si="38"/>
        <v>#DIV/0!</v>
      </c>
      <c r="J184" s="39" t="e">
        <f t="shared" si="38"/>
        <v>#DIV/0!</v>
      </c>
      <c r="K184" s="39" t="e">
        <f t="shared" si="38"/>
        <v>#DIV/0!</v>
      </c>
      <c r="L184" s="39" t="e">
        <f t="shared" si="40"/>
        <v>#DIV/0!</v>
      </c>
      <c r="M184" s="39">
        <v>2.95</v>
      </c>
      <c r="N184" s="39" t="e">
        <f t="shared" si="41"/>
        <v>#DIV/0!</v>
      </c>
      <c r="O184" s="39" t="e">
        <f t="shared" si="42"/>
        <v>#DIV/0!</v>
      </c>
      <c r="P184" s="39" t="e">
        <f t="shared" si="42"/>
        <v>#DIV/0!</v>
      </c>
      <c r="Q184" s="39" t="e">
        <f t="shared" si="35"/>
        <v>#DIV/0!</v>
      </c>
      <c r="R184" s="39" t="e">
        <f t="shared" si="35"/>
        <v>#DIV/0!</v>
      </c>
      <c r="S184" s="39" t="e">
        <f t="shared" si="35"/>
        <v>#DIV/0!</v>
      </c>
      <c r="T184" s="39" t="e">
        <f t="shared" si="35"/>
        <v>#DIV/0!</v>
      </c>
      <c r="U184" s="39" t="e">
        <f t="shared" si="36"/>
        <v>#DIV/0!</v>
      </c>
      <c r="V184" s="39" t="e">
        <f t="shared" si="36"/>
        <v>#DIV/0!</v>
      </c>
      <c r="W184"/>
    </row>
    <row r="185" spans="1:23" ht="15.75" thickBot="1">
      <c r="A185" s="808" t="s">
        <v>1584</v>
      </c>
      <c r="B185" s="717">
        <v>1.4</v>
      </c>
      <c r="C185" s="739"/>
      <c r="D185" s="39" t="e">
        <f t="shared" si="30"/>
        <v>#DIV/0!</v>
      </c>
      <c r="E185" s="39" t="e">
        <f t="shared" si="30"/>
        <v>#DIV/0!</v>
      </c>
      <c r="F185" s="39" t="e">
        <f t="shared" si="30"/>
        <v>#DIV/0!</v>
      </c>
      <c r="G185" s="39" t="e">
        <f t="shared" si="30"/>
        <v>#DIV/0!</v>
      </c>
      <c r="H185" s="39" t="e">
        <f t="shared" si="38"/>
        <v>#DIV/0!</v>
      </c>
      <c r="I185" s="39" t="e">
        <f t="shared" si="38"/>
        <v>#DIV/0!</v>
      </c>
      <c r="J185" s="39" t="e">
        <f t="shared" si="38"/>
        <v>#DIV/0!</v>
      </c>
      <c r="K185" s="39" t="e">
        <f t="shared" si="38"/>
        <v>#DIV/0!</v>
      </c>
      <c r="L185" s="39" t="e">
        <f t="shared" si="40"/>
        <v>#DIV/0!</v>
      </c>
      <c r="M185" s="39">
        <v>2.95</v>
      </c>
      <c r="N185" s="39" t="e">
        <f t="shared" si="41"/>
        <v>#DIV/0!</v>
      </c>
      <c r="O185" s="39" t="e">
        <f t="shared" si="42"/>
        <v>#DIV/0!</v>
      </c>
      <c r="P185" s="39" t="e">
        <f t="shared" si="42"/>
        <v>#DIV/0!</v>
      </c>
      <c r="Q185" s="39" t="e">
        <f t="shared" si="35"/>
        <v>#DIV/0!</v>
      </c>
      <c r="R185" s="39" t="e">
        <f t="shared" si="35"/>
        <v>#DIV/0!</v>
      </c>
      <c r="S185" s="39" t="e">
        <f t="shared" si="35"/>
        <v>#DIV/0!</v>
      </c>
      <c r="T185" s="39" t="e">
        <f t="shared" si="35"/>
        <v>#DIV/0!</v>
      </c>
      <c r="U185" s="39" t="e">
        <f t="shared" si="36"/>
        <v>#DIV/0!</v>
      </c>
      <c r="V185" s="39" t="e">
        <f t="shared" si="36"/>
        <v>#DIV/0!</v>
      </c>
      <c r="W185"/>
    </row>
    <row r="186" spans="1:23" ht="15.75" thickBot="1">
      <c r="A186" s="808" t="s">
        <v>1585</v>
      </c>
      <c r="B186" s="717">
        <v>1.4</v>
      </c>
      <c r="C186" s="739"/>
      <c r="D186" s="39" t="e">
        <f t="shared" si="30"/>
        <v>#DIV/0!</v>
      </c>
      <c r="E186" s="39" t="e">
        <f t="shared" si="30"/>
        <v>#DIV/0!</v>
      </c>
      <c r="F186" s="39" t="e">
        <f t="shared" si="30"/>
        <v>#DIV/0!</v>
      </c>
      <c r="G186" s="39" t="e">
        <f t="shared" si="30"/>
        <v>#DIV/0!</v>
      </c>
      <c r="H186" s="39" t="e">
        <f t="shared" si="38"/>
        <v>#DIV/0!</v>
      </c>
      <c r="I186" s="39" t="e">
        <f t="shared" si="38"/>
        <v>#DIV/0!</v>
      </c>
      <c r="J186" s="39" t="e">
        <f t="shared" si="38"/>
        <v>#DIV/0!</v>
      </c>
      <c r="K186" s="39" t="e">
        <f t="shared" si="38"/>
        <v>#DIV/0!</v>
      </c>
      <c r="L186" s="39" t="e">
        <f t="shared" si="40"/>
        <v>#DIV/0!</v>
      </c>
      <c r="M186" s="39">
        <v>2.95</v>
      </c>
      <c r="N186" s="39" t="e">
        <f t="shared" si="41"/>
        <v>#DIV/0!</v>
      </c>
      <c r="O186" s="39" t="e">
        <f t="shared" si="42"/>
        <v>#DIV/0!</v>
      </c>
      <c r="P186" s="39" t="e">
        <f t="shared" si="42"/>
        <v>#DIV/0!</v>
      </c>
      <c r="Q186" s="39" t="e">
        <f t="shared" si="35"/>
        <v>#DIV/0!</v>
      </c>
      <c r="R186" s="39" t="e">
        <f t="shared" si="35"/>
        <v>#DIV/0!</v>
      </c>
      <c r="S186" s="39" t="e">
        <f t="shared" si="35"/>
        <v>#DIV/0!</v>
      </c>
      <c r="T186" s="39" t="e">
        <f t="shared" si="35"/>
        <v>#DIV/0!</v>
      </c>
      <c r="U186" s="39" t="e">
        <f t="shared" si="36"/>
        <v>#DIV/0!</v>
      </c>
      <c r="V186" s="39" t="e">
        <f t="shared" si="36"/>
        <v>#DIV/0!</v>
      </c>
      <c r="W186"/>
    </row>
    <row r="187" spans="1:23" ht="15.75" thickBot="1">
      <c r="A187" s="808" t="s">
        <v>1586</v>
      </c>
      <c r="B187" s="717">
        <v>1.4</v>
      </c>
      <c r="C187" s="739"/>
      <c r="D187" s="39" t="e">
        <f t="shared" si="30"/>
        <v>#DIV/0!</v>
      </c>
      <c r="E187" s="39" t="e">
        <f t="shared" si="30"/>
        <v>#DIV/0!</v>
      </c>
      <c r="F187" s="39" t="e">
        <f t="shared" si="30"/>
        <v>#DIV/0!</v>
      </c>
      <c r="G187" s="39" t="e">
        <f t="shared" si="30"/>
        <v>#DIV/0!</v>
      </c>
      <c r="H187" s="39" t="e">
        <f t="shared" si="38"/>
        <v>#DIV/0!</v>
      </c>
      <c r="I187" s="39" t="e">
        <f t="shared" si="38"/>
        <v>#DIV/0!</v>
      </c>
      <c r="J187" s="39" t="e">
        <f t="shared" si="38"/>
        <v>#DIV/0!</v>
      </c>
      <c r="K187" s="39" t="e">
        <f t="shared" si="38"/>
        <v>#DIV/0!</v>
      </c>
      <c r="L187" s="39" t="e">
        <f t="shared" si="40"/>
        <v>#DIV/0!</v>
      </c>
      <c r="M187" s="39">
        <v>2.95</v>
      </c>
      <c r="N187" s="39" t="e">
        <f t="shared" si="41"/>
        <v>#DIV/0!</v>
      </c>
      <c r="O187" s="39" t="e">
        <f t="shared" si="42"/>
        <v>#DIV/0!</v>
      </c>
      <c r="P187" s="39" t="e">
        <f t="shared" si="42"/>
        <v>#DIV/0!</v>
      </c>
      <c r="Q187" s="39" t="e">
        <f t="shared" si="35"/>
        <v>#DIV/0!</v>
      </c>
      <c r="R187" s="39" t="e">
        <f t="shared" si="35"/>
        <v>#DIV/0!</v>
      </c>
      <c r="S187" s="39" t="e">
        <f t="shared" si="35"/>
        <v>#DIV/0!</v>
      </c>
      <c r="T187" s="39" t="e">
        <f t="shared" si="35"/>
        <v>#DIV/0!</v>
      </c>
      <c r="U187" s="39" t="e">
        <f t="shared" si="36"/>
        <v>#DIV/0!</v>
      </c>
      <c r="V187" s="39" t="e">
        <f t="shared" si="36"/>
        <v>#DIV/0!</v>
      </c>
      <c r="W187"/>
    </row>
    <row r="188" spans="1:23" ht="15.75" thickBot="1">
      <c r="A188" s="808" t="s">
        <v>1587</v>
      </c>
      <c r="B188" s="717">
        <v>1.4</v>
      </c>
      <c r="C188" s="739"/>
      <c r="D188" s="39" t="e">
        <f t="shared" si="30"/>
        <v>#DIV/0!</v>
      </c>
      <c r="E188" s="39" t="e">
        <f t="shared" si="30"/>
        <v>#DIV/0!</v>
      </c>
      <c r="F188" s="39" t="e">
        <f t="shared" si="30"/>
        <v>#DIV/0!</v>
      </c>
      <c r="G188" s="39" t="e">
        <f t="shared" si="30"/>
        <v>#DIV/0!</v>
      </c>
      <c r="H188" s="39" t="e">
        <f t="shared" si="38"/>
        <v>#DIV/0!</v>
      </c>
      <c r="I188" s="39" t="e">
        <f t="shared" si="38"/>
        <v>#DIV/0!</v>
      </c>
      <c r="J188" s="39" t="e">
        <f t="shared" si="38"/>
        <v>#DIV/0!</v>
      </c>
      <c r="K188" s="39" t="e">
        <f t="shared" si="38"/>
        <v>#DIV/0!</v>
      </c>
      <c r="L188" s="39" t="e">
        <f t="shared" si="40"/>
        <v>#DIV/0!</v>
      </c>
      <c r="M188" s="39">
        <v>2.95</v>
      </c>
      <c r="N188" s="39" t="e">
        <f t="shared" si="41"/>
        <v>#DIV/0!</v>
      </c>
      <c r="O188" s="39" t="e">
        <f t="shared" si="42"/>
        <v>#DIV/0!</v>
      </c>
      <c r="P188" s="39" t="e">
        <f t="shared" si="42"/>
        <v>#DIV/0!</v>
      </c>
      <c r="Q188" s="39" t="e">
        <f t="shared" si="35"/>
        <v>#DIV/0!</v>
      </c>
      <c r="R188" s="39" t="e">
        <f t="shared" si="35"/>
        <v>#DIV/0!</v>
      </c>
      <c r="S188" s="39" t="e">
        <f t="shared" si="35"/>
        <v>#DIV/0!</v>
      </c>
      <c r="T188" s="39" t="e">
        <f t="shared" si="35"/>
        <v>#DIV/0!</v>
      </c>
      <c r="U188" s="39" t="e">
        <f t="shared" si="36"/>
        <v>#DIV/0!</v>
      </c>
      <c r="V188" s="39" t="e">
        <f t="shared" si="36"/>
        <v>#DIV/0!</v>
      </c>
      <c r="W188"/>
    </row>
    <row r="189" spans="1:23" ht="15.75" thickBot="1">
      <c r="A189" s="808" t="s">
        <v>1588</v>
      </c>
      <c r="B189" s="717">
        <v>1.4</v>
      </c>
      <c r="C189" s="739"/>
      <c r="D189" s="39" t="e">
        <f t="shared" si="30"/>
        <v>#DIV/0!</v>
      </c>
      <c r="E189" s="39" t="e">
        <f t="shared" si="30"/>
        <v>#DIV/0!</v>
      </c>
      <c r="F189" s="39" t="e">
        <f t="shared" si="30"/>
        <v>#DIV/0!</v>
      </c>
      <c r="G189" s="39" t="e">
        <f t="shared" ref="G189:N214" si="43">1/0</f>
        <v>#DIV/0!</v>
      </c>
      <c r="H189" s="39" t="e">
        <f t="shared" si="38"/>
        <v>#DIV/0!</v>
      </c>
      <c r="I189" s="39" t="e">
        <f t="shared" si="38"/>
        <v>#DIV/0!</v>
      </c>
      <c r="J189" s="39" t="e">
        <f t="shared" si="38"/>
        <v>#DIV/0!</v>
      </c>
      <c r="K189" s="39" t="e">
        <f t="shared" si="38"/>
        <v>#DIV/0!</v>
      </c>
      <c r="L189" s="39" t="e">
        <f t="shared" si="40"/>
        <v>#DIV/0!</v>
      </c>
      <c r="M189" s="39">
        <v>2.95</v>
      </c>
      <c r="N189" s="39" t="e">
        <f t="shared" si="41"/>
        <v>#DIV/0!</v>
      </c>
      <c r="O189" s="39" t="e">
        <f t="shared" si="42"/>
        <v>#DIV/0!</v>
      </c>
      <c r="P189" s="39" t="e">
        <f t="shared" si="42"/>
        <v>#DIV/0!</v>
      </c>
      <c r="Q189" s="39" t="e">
        <f t="shared" si="35"/>
        <v>#DIV/0!</v>
      </c>
      <c r="R189" s="39" t="e">
        <f t="shared" si="35"/>
        <v>#DIV/0!</v>
      </c>
      <c r="S189" s="39" t="e">
        <f t="shared" si="35"/>
        <v>#DIV/0!</v>
      </c>
      <c r="T189" s="39" t="e">
        <f t="shared" si="35"/>
        <v>#DIV/0!</v>
      </c>
      <c r="U189" s="39" t="e">
        <f t="shared" si="36"/>
        <v>#DIV/0!</v>
      </c>
      <c r="V189" s="39" t="e">
        <f t="shared" si="36"/>
        <v>#DIV/0!</v>
      </c>
      <c r="W189"/>
    </row>
    <row r="190" spans="1:23" s="39" customFormat="1" ht="15.75" thickBot="1">
      <c r="A190" s="808" t="s">
        <v>1641</v>
      </c>
      <c r="B190" s="717">
        <v>1.4</v>
      </c>
      <c r="C190" s="739"/>
      <c r="D190" s="39" t="e">
        <f t="shared" ref="D190:F191" si="44">1/0</f>
        <v>#DIV/0!</v>
      </c>
      <c r="E190" s="39" t="e">
        <f t="shared" si="44"/>
        <v>#DIV/0!</v>
      </c>
      <c r="F190" s="39" t="e">
        <f t="shared" si="44"/>
        <v>#DIV/0!</v>
      </c>
      <c r="G190" s="39" t="e">
        <f t="shared" si="43"/>
        <v>#DIV/0!</v>
      </c>
      <c r="H190" s="39" t="e">
        <f t="shared" si="38"/>
        <v>#DIV/0!</v>
      </c>
      <c r="I190" s="39" t="e">
        <f t="shared" si="38"/>
        <v>#DIV/0!</v>
      </c>
      <c r="J190" s="39" t="e">
        <f t="shared" si="38"/>
        <v>#DIV/0!</v>
      </c>
      <c r="K190" s="39" t="e">
        <f t="shared" si="38"/>
        <v>#DIV/0!</v>
      </c>
      <c r="L190" s="39" t="e">
        <f t="shared" si="40"/>
        <v>#DIV/0!</v>
      </c>
      <c r="M190" s="39">
        <v>2.95</v>
      </c>
      <c r="N190" s="39" t="e">
        <f t="shared" si="41"/>
        <v>#DIV/0!</v>
      </c>
      <c r="O190" s="39" t="e">
        <f t="shared" si="42"/>
        <v>#DIV/0!</v>
      </c>
      <c r="P190" s="39" t="e">
        <f t="shared" si="42"/>
        <v>#DIV/0!</v>
      </c>
      <c r="Q190" s="39" t="e">
        <f t="shared" si="35"/>
        <v>#DIV/0!</v>
      </c>
      <c r="R190" s="39" t="e">
        <f t="shared" si="35"/>
        <v>#DIV/0!</v>
      </c>
      <c r="S190" s="39" t="e">
        <f t="shared" si="35"/>
        <v>#DIV/0!</v>
      </c>
      <c r="T190" s="39" t="e">
        <f t="shared" si="35"/>
        <v>#DIV/0!</v>
      </c>
      <c r="U190" s="39" t="e">
        <f t="shared" si="36"/>
        <v>#DIV/0!</v>
      </c>
      <c r="V190" s="39" t="e">
        <f t="shared" si="36"/>
        <v>#DIV/0!</v>
      </c>
    </row>
    <row r="191" spans="1:23" s="39" customFormat="1" ht="15.75" thickBot="1">
      <c r="A191" s="808" t="s">
        <v>1642</v>
      </c>
      <c r="B191" s="717">
        <v>1.4</v>
      </c>
      <c r="C191" s="739"/>
      <c r="D191" s="39" t="e">
        <f t="shared" si="44"/>
        <v>#DIV/0!</v>
      </c>
      <c r="E191" s="39" t="e">
        <f t="shared" si="44"/>
        <v>#DIV/0!</v>
      </c>
      <c r="F191" s="39" t="e">
        <f t="shared" si="44"/>
        <v>#DIV/0!</v>
      </c>
      <c r="G191" s="39" t="e">
        <f t="shared" si="43"/>
        <v>#DIV/0!</v>
      </c>
      <c r="H191" s="39" t="e">
        <f t="shared" si="38"/>
        <v>#DIV/0!</v>
      </c>
      <c r="I191" s="39" t="e">
        <f t="shared" si="38"/>
        <v>#DIV/0!</v>
      </c>
      <c r="J191" s="39" t="e">
        <f t="shared" si="38"/>
        <v>#DIV/0!</v>
      </c>
      <c r="K191" s="39" t="e">
        <f t="shared" si="38"/>
        <v>#DIV/0!</v>
      </c>
      <c r="L191" s="39" t="e">
        <f t="shared" si="40"/>
        <v>#DIV/0!</v>
      </c>
      <c r="M191" s="39">
        <v>2.95</v>
      </c>
      <c r="N191" s="39" t="e">
        <f t="shared" si="41"/>
        <v>#DIV/0!</v>
      </c>
      <c r="O191" s="39" t="e">
        <f t="shared" si="42"/>
        <v>#DIV/0!</v>
      </c>
      <c r="P191" s="39" t="e">
        <f t="shared" si="42"/>
        <v>#DIV/0!</v>
      </c>
      <c r="Q191" s="39" t="e">
        <f t="shared" si="35"/>
        <v>#DIV/0!</v>
      </c>
      <c r="R191" s="39" t="e">
        <f t="shared" si="35"/>
        <v>#DIV/0!</v>
      </c>
      <c r="S191" s="39" t="e">
        <f t="shared" si="35"/>
        <v>#DIV/0!</v>
      </c>
      <c r="T191" s="39" t="e">
        <f t="shared" si="35"/>
        <v>#DIV/0!</v>
      </c>
      <c r="U191" s="39" t="e">
        <f t="shared" si="36"/>
        <v>#DIV/0!</v>
      </c>
      <c r="V191" s="39" t="e">
        <f t="shared" si="36"/>
        <v>#DIV/0!</v>
      </c>
    </row>
    <row r="192" spans="1:23" ht="15.75" thickBot="1">
      <c r="B192" s="717"/>
      <c r="C192" s="739"/>
      <c r="D192" s="39" t="e">
        <f t="shared" ref="D192:R214" si="45">1/0</f>
        <v>#DIV/0!</v>
      </c>
      <c r="E192" s="39" t="e">
        <f t="shared" si="45"/>
        <v>#DIV/0!</v>
      </c>
      <c r="F192" s="39" t="e">
        <f t="shared" si="45"/>
        <v>#DIV/0!</v>
      </c>
      <c r="G192" s="39" t="e">
        <f t="shared" si="43"/>
        <v>#DIV/0!</v>
      </c>
      <c r="H192" s="39" t="e">
        <f t="shared" si="38"/>
        <v>#DIV/0!</v>
      </c>
      <c r="I192" s="39" t="e">
        <f t="shared" si="38"/>
        <v>#DIV/0!</v>
      </c>
      <c r="J192" s="39" t="e">
        <f t="shared" si="38"/>
        <v>#DIV/0!</v>
      </c>
      <c r="K192" s="39" t="e">
        <f t="shared" si="38"/>
        <v>#DIV/0!</v>
      </c>
      <c r="L192" s="39" t="e">
        <f t="shared" si="40"/>
        <v>#DIV/0!</v>
      </c>
      <c r="M192" s="39" t="e">
        <f t="shared" si="40"/>
        <v>#DIV/0!</v>
      </c>
      <c r="N192" s="39" t="e">
        <f t="shared" ref="N192" si="46">1/0</f>
        <v>#DIV/0!</v>
      </c>
      <c r="O192" s="39" t="e">
        <f t="shared" si="42"/>
        <v>#DIV/0!</v>
      </c>
      <c r="P192" s="39" t="e">
        <f t="shared" si="42"/>
        <v>#DIV/0!</v>
      </c>
      <c r="Q192" s="39" t="e">
        <f t="shared" si="35"/>
        <v>#DIV/0!</v>
      </c>
      <c r="R192" s="39" t="e">
        <f t="shared" si="35"/>
        <v>#DIV/0!</v>
      </c>
      <c r="S192" s="39" t="e">
        <f t="shared" si="35"/>
        <v>#DIV/0!</v>
      </c>
      <c r="T192" s="39" t="e">
        <f t="shared" si="35"/>
        <v>#DIV/0!</v>
      </c>
      <c r="U192" s="39" t="e">
        <f t="shared" si="36"/>
        <v>#DIV/0!</v>
      </c>
      <c r="V192" s="39" t="e">
        <f t="shared" si="36"/>
        <v>#DIV/0!</v>
      </c>
      <c r="W192"/>
    </row>
    <row r="193" spans="1:23" ht="15.75" thickBot="1">
      <c r="B193" s="717"/>
      <c r="C193" s="739"/>
      <c r="D193" s="39" t="e">
        <f t="shared" si="45"/>
        <v>#DIV/0!</v>
      </c>
      <c r="E193" s="39" t="e">
        <f t="shared" si="45"/>
        <v>#DIV/0!</v>
      </c>
      <c r="F193" s="39" t="e">
        <f t="shared" si="45"/>
        <v>#DIV/0!</v>
      </c>
      <c r="G193" s="39" t="e">
        <f t="shared" si="43"/>
        <v>#DIV/0!</v>
      </c>
      <c r="H193" s="39" t="e">
        <f t="shared" si="38"/>
        <v>#DIV/0!</v>
      </c>
      <c r="I193" s="39" t="e">
        <f t="shared" si="38"/>
        <v>#DIV/0!</v>
      </c>
      <c r="J193" s="39" t="e">
        <f t="shared" si="38"/>
        <v>#DIV/0!</v>
      </c>
      <c r="K193" s="39" t="e">
        <f t="shared" si="38"/>
        <v>#DIV/0!</v>
      </c>
      <c r="L193" s="39" t="e">
        <f t="shared" si="40"/>
        <v>#DIV/0!</v>
      </c>
      <c r="M193" s="39" t="e">
        <f t="shared" si="40"/>
        <v>#DIV/0!</v>
      </c>
      <c r="N193" s="39" t="e">
        <f t="shared" ref="N193:N198" si="47">1/0</f>
        <v>#DIV/0!</v>
      </c>
      <c r="O193" s="39" t="e">
        <f t="shared" si="42"/>
        <v>#DIV/0!</v>
      </c>
      <c r="P193" s="39" t="e">
        <f t="shared" si="42"/>
        <v>#DIV/0!</v>
      </c>
      <c r="Q193" s="39" t="e">
        <f t="shared" ref="Q193:V216" si="48">1/0</f>
        <v>#DIV/0!</v>
      </c>
      <c r="R193" s="39" t="e">
        <f t="shared" si="48"/>
        <v>#DIV/0!</v>
      </c>
      <c r="S193" s="39" t="e">
        <f t="shared" si="48"/>
        <v>#DIV/0!</v>
      </c>
      <c r="T193" s="39" t="e">
        <f t="shared" si="48"/>
        <v>#DIV/0!</v>
      </c>
      <c r="U193" s="39" t="e">
        <f t="shared" si="48"/>
        <v>#DIV/0!</v>
      </c>
      <c r="V193" s="39" t="e">
        <f t="shared" si="48"/>
        <v>#DIV/0!</v>
      </c>
      <c r="W193"/>
    </row>
    <row r="194" spans="1:23" ht="15.75" thickBot="1">
      <c r="A194" s="808" t="s">
        <v>1571</v>
      </c>
      <c r="B194" s="717">
        <v>1.4</v>
      </c>
      <c r="C194" s="739"/>
      <c r="D194" s="39" t="e">
        <f t="shared" si="45"/>
        <v>#DIV/0!</v>
      </c>
      <c r="E194" s="39" t="e">
        <f t="shared" si="45"/>
        <v>#DIV/0!</v>
      </c>
      <c r="F194" s="39" t="e">
        <f t="shared" si="45"/>
        <v>#DIV/0!</v>
      </c>
      <c r="G194" s="39" t="e">
        <f t="shared" si="43"/>
        <v>#DIV/0!</v>
      </c>
      <c r="H194" s="39" t="e">
        <f t="shared" si="38"/>
        <v>#DIV/0!</v>
      </c>
      <c r="I194" s="39" t="e">
        <f t="shared" si="38"/>
        <v>#DIV/0!</v>
      </c>
      <c r="J194" s="39" t="e">
        <f t="shared" si="38"/>
        <v>#DIV/0!</v>
      </c>
      <c r="K194" s="39" t="e">
        <f t="shared" si="38"/>
        <v>#DIV/0!</v>
      </c>
      <c r="L194" s="39" t="e">
        <f t="shared" si="40"/>
        <v>#DIV/0!</v>
      </c>
      <c r="M194" s="39" t="e">
        <f t="shared" si="40"/>
        <v>#DIV/0!</v>
      </c>
      <c r="N194" s="39">
        <v>2.5</v>
      </c>
      <c r="O194" s="39" t="e">
        <f t="shared" si="42"/>
        <v>#DIV/0!</v>
      </c>
      <c r="P194" s="39" t="e">
        <f t="shared" si="42"/>
        <v>#DIV/0!</v>
      </c>
      <c r="Q194" s="39" t="e">
        <f t="shared" si="48"/>
        <v>#DIV/0!</v>
      </c>
      <c r="R194" s="39" t="e">
        <f t="shared" si="48"/>
        <v>#DIV/0!</v>
      </c>
      <c r="S194" s="39" t="e">
        <f t="shared" si="48"/>
        <v>#DIV/0!</v>
      </c>
      <c r="T194" s="39" t="e">
        <f t="shared" si="48"/>
        <v>#DIV/0!</v>
      </c>
      <c r="U194" s="39" t="e">
        <f t="shared" si="48"/>
        <v>#DIV/0!</v>
      </c>
      <c r="V194" s="39" t="e">
        <f t="shared" si="48"/>
        <v>#DIV/0!</v>
      </c>
      <c r="W194"/>
    </row>
    <row r="195" spans="1:23" ht="15.75" thickBot="1">
      <c r="A195" s="808" t="s">
        <v>1572</v>
      </c>
      <c r="B195" s="717">
        <v>1.4</v>
      </c>
      <c r="C195" s="739"/>
      <c r="D195" s="39" t="e">
        <f t="shared" si="45"/>
        <v>#DIV/0!</v>
      </c>
      <c r="E195" s="39" t="e">
        <f t="shared" si="45"/>
        <v>#DIV/0!</v>
      </c>
      <c r="F195" s="39" t="e">
        <f t="shared" si="45"/>
        <v>#DIV/0!</v>
      </c>
      <c r="G195" s="39" t="e">
        <f t="shared" si="43"/>
        <v>#DIV/0!</v>
      </c>
      <c r="H195" s="39" t="e">
        <f t="shared" si="38"/>
        <v>#DIV/0!</v>
      </c>
      <c r="I195" s="39" t="e">
        <f t="shared" si="38"/>
        <v>#DIV/0!</v>
      </c>
      <c r="J195" s="39" t="e">
        <f t="shared" si="38"/>
        <v>#DIV/0!</v>
      </c>
      <c r="K195" s="39" t="e">
        <f t="shared" si="38"/>
        <v>#DIV/0!</v>
      </c>
      <c r="L195" s="39" t="e">
        <f t="shared" si="40"/>
        <v>#DIV/0!</v>
      </c>
      <c r="M195" s="39" t="e">
        <f t="shared" si="40"/>
        <v>#DIV/0!</v>
      </c>
      <c r="N195" s="39">
        <v>2.5</v>
      </c>
      <c r="O195" s="39" t="e">
        <f t="shared" si="42"/>
        <v>#DIV/0!</v>
      </c>
      <c r="P195" s="39" t="e">
        <f t="shared" si="42"/>
        <v>#DIV/0!</v>
      </c>
      <c r="Q195" s="39" t="e">
        <f t="shared" si="48"/>
        <v>#DIV/0!</v>
      </c>
      <c r="R195" s="39" t="e">
        <f t="shared" si="48"/>
        <v>#DIV/0!</v>
      </c>
      <c r="S195" s="39" t="e">
        <f t="shared" si="48"/>
        <v>#DIV/0!</v>
      </c>
      <c r="T195" s="39" t="e">
        <f t="shared" si="48"/>
        <v>#DIV/0!</v>
      </c>
      <c r="U195" s="39" t="e">
        <f t="shared" si="48"/>
        <v>#DIV/0!</v>
      </c>
      <c r="V195" s="39" t="e">
        <f t="shared" si="48"/>
        <v>#DIV/0!</v>
      </c>
      <c r="W195"/>
    </row>
    <row r="196" spans="1:23" ht="15.75" thickBot="1">
      <c r="A196" s="808" t="s">
        <v>1573</v>
      </c>
      <c r="B196" s="717">
        <v>1.4</v>
      </c>
      <c r="C196" s="739"/>
      <c r="D196" s="39" t="e">
        <f t="shared" si="45"/>
        <v>#DIV/0!</v>
      </c>
      <c r="E196" s="39" t="e">
        <f t="shared" si="45"/>
        <v>#DIV/0!</v>
      </c>
      <c r="F196" s="39" t="e">
        <f t="shared" si="45"/>
        <v>#DIV/0!</v>
      </c>
      <c r="G196" s="39" t="e">
        <f t="shared" si="43"/>
        <v>#DIV/0!</v>
      </c>
      <c r="H196" s="39" t="e">
        <f t="shared" si="38"/>
        <v>#DIV/0!</v>
      </c>
      <c r="I196" s="39" t="e">
        <f t="shared" si="38"/>
        <v>#DIV/0!</v>
      </c>
      <c r="J196" s="39" t="e">
        <f t="shared" si="38"/>
        <v>#DIV/0!</v>
      </c>
      <c r="K196" s="39" t="e">
        <f t="shared" si="38"/>
        <v>#DIV/0!</v>
      </c>
      <c r="L196" s="39" t="e">
        <f t="shared" si="40"/>
        <v>#DIV/0!</v>
      </c>
      <c r="M196" s="39" t="e">
        <f t="shared" si="40"/>
        <v>#DIV/0!</v>
      </c>
      <c r="N196" s="39">
        <v>2.5</v>
      </c>
      <c r="O196" s="39" t="e">
        <f t="shared" si="42"/>
        <v>#DIV/0!</v>
      </c>
      <c r="P196" s="39" t="e">
        <f t="shared" si="42"/>
        <v>#DIV/0!</v>
      </c>
      <c r="Q196" s="39" t="e">
        <f t="shared" si="48"/>
        <v>#DIV/0!</v>
      </c>
      <c r="R196" s="39" t="e">
        <f t="shared" si="48"/>
        <v>#DIV/0!</v>
      </c>
      <c r="S196" s="39" t="e">
        <f t="shared" si="48"/>
        <v>#DIV/0!</v>
      </c>
      <c r="T196" s="39" t="e">
        <f t="shared" si="48"/>
        <v>#DIV/0!</v>
      </c>
      <c r="U196" s="39" t="e">
        <f t="shared" si="48"/>
        <v>#DIV/0!</v>
      </c>
      <c r="V196" s="39" t="e">
        <f t="shared" si="48"/>
        <v>#DIV/0!</v>
      </c>
      <c r="W196"/>
    </row>
    <row r="197" spans="1:23" ht="15.75" thickBot="1">
      <c r="A197" s="808" t="s">
        <v>1574</v>
      </c>
      <c r="B197" s="717">
        <v>1.4</v>
      </c>
      <c r="C197" s="739"/>
      <c r="D197" s="39" t="e">
        <f t="shared" si="45"/>
        <v>#DIV/0!</v>
      </c>
      <c r="E197" s="39" t="e">
        <f t="shared" si="45"/>
        <v>#DIV/0!</v>
      </c>
      <c r="F197" s="39" t="e">
        <f t="shared" si="45"/>
        <v>#DIV/0!</v>
      </c>
      <c r="G197" s="39" t="e">
        <f t="shared" si="43"/>
        <v>#DIV/0!</v>
      </c>
      <c r="H197" s="39" t="e">
        <f t="shared" si="38"/>
        <v>#DIV/0!</v>
      </c>
      <c r="I197" s="39" t="e">
        <f t="shared" si="38"/>
        <v>#DIV/0!</v>
      </c>
      <c r="J197" s="39" t="e">
        <f t="shared" si="38"/>
        <v>#DIV/0!</v>
      </c>
      <c r="K197" s="39" t="e">
        <f t="shared" si="38"/>
        <v>#DIV/0!</v>
      </c>
      <c r="L197" s="39" t="e">
        <f t="shared" si="40"/>
        <v>#DIV/0!</v>
      </c>
      <c r="M197" s="39" t="e">
        <f t="shared" si="40"/>
        <v>#DIV/0!</v>
      </c>
      <c r="N197" s="39">
        <v>2.5</v>
      </c>
      <c r="O197" s="39" t="e">
        <f t="shared" si="42"/>
        <v>#DIV/0!</v>
      </c>
      <c r="P197" s="39" t="e">
        <f t="shared" si="42"/>
        <v>#DIV/0!</v>
      </c>
      <c r="Q197" s="39" t="e">
        <f t="shared" si="48"/>
        <v>#DIV/0!</v>
      </c>
      <c r="R197" s="39" t="e">
        <f t="shared" si="48"/>
        <v>#DIV/0!</v>
      </c>
      <c r="S197" s="39" t="e">
        <f t="shared" si="48"/>
        <v>#DIV/0!</v>
      </c>
      <c r="T197" s="39" t="e">
        <f t="shared" si="48"/>
        <v>#DIV/0!</v>
      </c>
      <c r="U197" s="39" t="e">
        <f t="shared" si="48"/>
        <v>#DIV/0!</v>
      </c>
      <c r="V197" s="39" t="e">
        <f t="shared" si="48"/>
        <v>#DIV/0!</v>
      </c>
      <c r="W197"/>
    </row>
    <row r="198" spans="1:23" ht="15.75" thickBot="1">
      <c r="B198" s="717"/>
      <c r="C198" s="739"/>
      <c r="D198" s="39" t="e">
        <f t="shared" si="45"/>
        <v>#DIV/0!</v>
      </c>
      <c r="E198" s="39" t="e">
        <f t="shared" si="45"/>
        <v>#DIV/0!</v>
      </c>
      <c r="F198" s="39" t="e">
        <f t="shared" si="45"/>
        <v>#DIV/0!</v>
      </c>
      <c r="G198" s="39" t="e">
        <f t="shared" si="43"/>
        <v>#DIV/0!</v>
      </c>
      <c r="H198" s="39" t="e">
        <f t="shared" si="38"/>
        <v>#DIV/0!</v>
      </c>
      <c r="I198" s="39" t="e">
        <f t="shared" si="38"/>
        <v>#DIV/0!</v>
      </c>
      <c r="J198" s="39" t="e">
        <f t="shared" si="38"/>
        <v>#DIV/0!</v>
      </c>
      <c r="K198" s="39" t="e">
        <f t="shared" si="38"/>
        <v>#DIV/0!</v>
      </c>
      <c r="L198" s="39" t="e">
        <f t="shared" si="40"/>
        <v>#DIV/0!</v>
      </c>
      <c r="M198" s="39" t="e">
        <f t="shared" si="40"/>
        <v>#DIV/0!</v>
      </c>
      <c r="N198" s="39" t="e">
        <f t="shared" si="47"/>
        <v>#DIV/0!</v>
      </c>
      <c r="O198" s="39" t="e">
        <f t="shared" si="42"/>
        <v>#DIV/0!</v>
      </c>
      <c r="P198" s="39" t="e">
        <f t="shared" si="42"/>
        <v>#DIV/0!</v>
      </c>
      <c r="Q198" s="39" t="e">
        <f t="shared" si="48"/>
        <v>#DIV/0!</v>
      </c>
      <c r="R198" s="39" t="e">
        <f t="shared" si="48"/>
        <v>#DIV/0!</v>
      </c>
      <c r="S198" s="39" t="e">
        <f t="shared" si="48"/>
        <v>#DIV/0!</v>
      </c>
      <c r="T198" s="39" t="e">
        <f t="shared" si="48"/>
        <v>#DIV/0!</v>
      </c>
      <c r="U198" s="39" t="e">
        <f t="shared" si="48"/>
        <v>#DIV/0!</v>
      </c>
      <c r="V198" s="39" t="e">
        <f t="shared" si="48"/>
        <v>#DIV/0!</v>
      </c>
      <c r="W198"/>
    </row>
    <row r="199" spans="1:23" ht="15.75" thickBot="1">
      <c r="B199" s="717"/>
      <c r="C199" s="739"/>
      <c r="D199" s="39" t="e">
        <f t="shared" si="45"/>
        <v>#DIV/0!</v>
      </c>
      <c r="E199" s="39" t="e">
        <f t="shared" si="45"/>
        <v>#DIV/0!</v>
      </c>
      <c r="F199" s="39" t="e">
        <f t="shared" si="45"/>
        <v>#DIV/0!</v>
      </c>
      <c r="G199" s="39" t="e">
        <f t="shared" si="43"/>
        <v>#DIV/0!</v>
      </c>
      <c r="H199" s="39" t="e">
        <f t="shared" si="38"/>
        <v>#DIV/0!</v>
      </c>
      <c r="I199" s="39" t="e">
        <f t="shared" si="38"/>
        <v>#DIV/0!</v>
      </c>
      <c r="J199" s="39" t="e">
        <f t="shared" si="38"/>
        <v>#DIV/0!</v>
      </c>
      <c r="K199" s="39" t="e">
        <f t="shared" si="38"/>
        <v>#DIV/0!</v>
      </c>
      <c r="L199" s="39" t="e">
        <f t="shared" si="40"/>
        <v>#DIV/0!</v>
      </c>
      <c r="M199" s="39" t="e">
        <f t="shared" si="40"/>
        <v>#DIV/0!</v>
      </c>
      <c r="N199" s="39" t="e">
        <f t="shared" si="40"/>
        <v>#DIV/0!</v>
      </c>
      <c r="O199" s="39" t="e">
        <f t="shared" si="42"/>
        <v>#DIV/0!</v>
      </c>
      <c r="P199" s="39" t="e">
        <f t="shared" si="42"/>
        <v>#DIV/0!</v>
      </c>
      <c r="Q199" s="39" t="e">
        <f t="shared" si="48"/>
        <v>#DIV/0!</v>
      </c>
      <c r="R199" s="39" t="e">
        <f t="shared" si="48"/>
        <v>#DIV/0!</v>
      </c>
      <c r="S199" s="39" t="e">
        <f t="shared" si="48"/>
        <v>#DIV/0!</v>
      </c>
      <c r="T199" s="39" t="e">
        <f t="shared" si="48"/>
        <v>#DIV/0!</v>
      </c>
      <c r="U199" s="39" t="e">
        <f t="shared" si="48"/>
        <v>#DIV/0!</v>
      </c>
      <c r="V199" s="39" t="e">
        <f t="shared" si="48"/>
        <v>#DIV/0!</v>
      </c>
      <c r="W199"/>
    </row>
    <row r="200" spans="1:23" ht="15.75" thickBot="1">
      <c r="A200" s="39" t="s">
        <v>962</v>
      </c>
      <c r="B200" s="717"/>
      <c r="C200" s="739"/>
      <c r="D200" s="39" t="e">
        <f t="shared" si="45"/>
        <v>#DIV/0!</v>
      </c>
      <c r="E200" s="39" t="e">
        <f t="shared" si="45"/>
        <v>#DIV/0!</v>
      </c>
      <c r="F200" s="39" t="e">
        <f t="shared" si="45"/>
        <v>#DIV/0!</v>
      </c>
      <c r="G200" s="39" t="e">
        <f t="shared" si="43"/>
        <v>#DIV/0!</v>
      </c>
      <c r="H200" s="39" t="e">
        <f t="shared" si="38"/>
        <v>#DIV/0!</v>
      </c>
      <c r="I200" s="39" t="e">
        <f t="shared" si="38"/>
        <v>#DIV/0!</v>
      </c>
      <c r="J200" s="39" t="e">
        <f t="shared" si="38"/>
        <v>#DIV/0!</v>
      </c>
      <c r="K200" s="39" t="e">
        <f t="shared" si="38"/>
        <v>#DIV/0!</v>
      </c>
      <c r="L200" s="39" t="e">
        <f t="shared" si="40"/>
        <v>#DIV/0!</v>
      </c>
      <c r="M200" s="39" t="e">
        <f t="shared" si="40"/>
        <v>#DIV/0!</v>
      </c>
      <c r="N200" s="39" t="e">
        <f t="shared" si="40"/>
        <v>#DIV/0!</v>
      </c>
      <c r="O200" s="39" t="e">
        <f t="shared" si="42"/>
        <v>#DIV/0!</v>
      </c>
      <c r="P200" s="39" t="e">
        <f t="shared" si="42"/>
        <v>#DIV/0!</v>
      </c>
      <c r="Q200" s="39"/>
      <c r="R200" s="39" t="e">
        <f t="shared" si="48"/>
        <v>#DIV/0!</v>
      </c>
      <c r="S200" s="39" t="e">
        <f t="shared" si="48"/>
        <v>#DIV/0!</v>
      </c>
      <c r="T200" s="39" t="e">
        <f t="shared" si="48"/>
        <v>#DIV/0!</v>
      </c>
      <c r="U200" s="39" t="e">
        <f t="shared" si="48"/>
        <v>#DIV/0!</v>
      </c>
      <c r="V200" s="39" t="e">
        <f t="shared" si="48"/>
        <v>#DIV/0!</v>
      </c>
      <c r="W200"/>
    </row>
    <row r="201" spans="1:23" ht="15.75" thickBot="1">
      <c r="A201" s="686" t="s">
        <v>963</v>
      </c>
      <c r="B201" s="717"/>
      <c r="C201" s="739"/>
      <c r="D201" s="39" t="e">
        <f t="shared" si="45"/>
        <v>#DIV/0!</v>
      </c>
      <c r="E201" s="39" t="e">
        <f t="shared" si="45"/>
        <v>#DIV/0!</v>
      </c>
      <c r="F201" s="39" t="e">
        <f t="shared" si="45"/>
        <v>#DIV/0!</v>
      </c>
      <c r="G201" s="39" t="e">
        <f t="shared" si="43"/>
        <v>#DIV/0!</v>
      </c>
      <c r="H201" s="39" t="e">
        <f t="shared" si="38"/>
        <v>#DIV/0!</v>
      </c>
      <c r="I201" s="39" t="e">
        <f t="shared" si="38"/>
        <v>#DIV/0!</v>
      </c>
      <c r="J201" s="39" t="e">
        <f t="shared" si="38"/>
        <v>#DIV/0!</v>
      </c>
      <c r="K201" s="39" t="e">
        <f t="shared" si="38"/>
        <v>#DIV/0!</v>
      </c>
      <c r="L201" s="39" t="e">
        <f t="shared" si="40"/>
        <v>#DIV/0!</v>
      </c>
      <c r="M201" s="39" t="e">
        <f t="shared" si="40"/>
        <v>#DIV/0!</v>
      </c>
      <c r="N201" s="39" t="e">
        <f t="shared" si="40"/>
        <v>#DIV/0!</v>
      </c>
      <c r="O201" s="39" t="e">
        <f t="shared" si="42"/>
        <v>#DIV/0!</v>
      </c>
      <c r="P201" s="39" t="e">
        <f t="shared" si="42"/>
        <v>#DIV/0!</v>
      </c>
      <c r="Q201" s="39"/>
      <c r="R201" s="39" t="e">
        <f t="shared" si="48"/>
        <v>#DIV/0!</v>
      </c>
      <c r="S201" s="39" t="e">
        <f t="shared" si="48"/>
        <v>#DIV/0!</v>
      </c>
      <c r="T201" s="39" t="e">
        <f t="shared" si="48"/>
        <v>#DIV/0!</v>
      </c>
      <c r="U201" s="39" t="e">
        <f t="shared" si="48"/>
        <v>#DIV/0!</v>
      </c>
      <c r="V201" s="39" t="e">
        <f t="shared" si="48"/>
        <v>#DIV/0!</v>
      </c>
      <c r="W201"/>
    </row>
    <row r="202" spans="1:23" ht="15.75" thickBot="1">
      <c r="A202" s="686" t="s">
        <v>964</v>
      </c>
      <c r="B202" s="717"/>
      <c r="C202" s="739"/>
      <c r="D202" s="39" t="e">
        <f t="shared" si="45"/>
        <v>#DIV/0!</v>
      </c>
      <c r="E202" s="39" t="e">
        <f t="shared" si="45"/>
        <v>#DIV/0!</v>
      </c>
      <c r="F202" s="39" t="e">
        <f t="shared" si="45"/>
        <v>#DIV/0!</v>
      </c>
      <c r="G202" s="39" t="e">
        <f t="shared" si="43"/>
        <v>#DIV/0!</v>
      </c>
      <c r="H202" s="39" t="e">
        <f t="shared" si="38"/>
        <v>#DIV/0!</v>
      </c>
      <c r="I202" s="39" t="e">
        <f t="shared" si="38"/>
        <v>#DIV/0!</v>
      </c>
      <c r="J202" s="39" t="e">
        <f t="shared" si="38"/>
        <v>#DIV/0!</v>
      </c>
      <c r="K202" s="39" t="e">
        <f t="shared" si="38"/>
        <v>#DIV/0!</v>
      </c>
      <c r="L202" s="39" t="e">
        <f t="shared" si="40"/>
        <v>#DIV/0!</v>
      </c>
      <c r="M202" s="39" t="e">
        <f t="shared" si="40"/>
        <v>#DIV/0!</v>
      </c>
      <c r="N202" s="39" t="e">
        <f t="shared" si="40"/>
        <v>#DIV/0!</v>
      </c>
      <c r="O202" s="39" t="e">
        <f t="shared" si="42"/>
        <v>#DIV/0!</v>
      </c>
      <c r="P202" s="39" t="e">
        <f t="shared" si="42"/>
        <v>#DIV/0!</v>
      </c>
      <c r="Q202" s="39"/>
      <c r="R202" s="39" t="e">
        <f t="shared" si="48"/>
        <v>#DIV/0!</v>
      </c>
      <c r="S202" s="39" t="e">
        <f t="shared" si="48"/>
        <v>#DIV/0!</v>
      </c>
      <c r="T202" s="39" t="e">
        <f t="shared" si="48"/>
        <v>#DIV/0!</v>
      </c>
      <c r="U202" s="39" t="e">
        <f t="shared" si="48"/>
        <v>#DIV/0!</v>
      </c>
      <c r="V202" s="39" t="e">
        <f t="shared" si="48"/>
        <v>#DIV/0!</v>
      </c>
      <c r="W202"/>
    </row>
    <row r="203" spans="1:23" ht="15.75" thickBot="1">
      <c r="A203" s="686" t="s">
        <v>965</v>
      </c>
      <c r="B203" s="717"/>
      <c r="C203" s="739"/>
      <c r="D203" s="39" t="e">
        <f t="shared" si="45"/>
        <v>#DIV/0!</v>
      </c>
      <c r="E203" s="39" t="e">
        <f t="shared" si="45"/>
        <v>#DIV/0!</v>
      </c>
      <c r="F203" s="39" t="e">
        <f t="shared" si="45"/>
        <v>#DIV/0!</v>
      </c>
      <c r="G203" s="39" t="e">
        <f t="shared" si="43"/>
        <v>#DIV/0!</v>
      </c>
      <c r="H203" s="39" t="e">
        <f t="shared" si="43"/>
        <v>#DIV/0!</v>
      </c>
      <c r="I203" s="39" t="e">
        <f t="shared" si="43"/>
        <v>#DIV/0!</v>
      </c>
      <c r="J203" s="39" t="e">
        <f t="shared" si="43"/>
        <v>#DIV/0!</v>
      </c>
      <c r="K203" s="39" t="e">
        <f t="shared" si="43"/>
        <v>#DIV/0!</v>
      </c>
      <c r="L203" s="39" t="e">
        <f t="shared" si="40"/>
        <v>#DIV/0!</v>
      </c>
      <c r="M203" s="39" t="e">
        <f t="shared" si="40"/>
        <v>#DIV/0!</v>
      </c>
      <c r="N203" s="39" t="e">
        <f t="shared" si="40"/>
        <v>#DIV/0!</v>
      </c>
      <c r="O203" s="39" t="e">
        <f t="shared" si="42"/>
        <v>#DIV/0!</v>
      </c>
      <c r="P203" s="39" t="e">
        <f t="shared" si="42"/>
        <v>#DIV/0!</v>
      </c>
      <c r="Q203" s="39"/>
      <c r="R203" s="39" t="e">
        <f t="shared" si="48"/>
        <v>#DIV/0!</v>
      </c>
      <c r="S203" s="39" t="e">
        <f t="shared" si="48"/>
        <v>#DIV/0!</v>
      </c>
      <c r="T203" s="39" t="e">
        <f t="shared" si="48"/>
        <v>#DIV/0!</v>
      </c>
      <c r="U203" s="39" t="e">
        <f t="shared" si="48"/>
        <v>#DIV/0!</v>
      </c>
      <c r="V203" s="39" t="e">
        <f t="shared" si="48"/>
        <v>#DIV/0!</v>
      </c>
      <c r="W203"/>
    </row>
    <row r="204" spans="1:23" ht="15.75" thickBot="1">
      <c r="A204" s="686"/>
      <c r="B204" s="717"/>
      <c r="C204" s="739"/>
      <c r="D204" s="39" t="e">
        <f t="shared" si="45"/>
        <v>#DIV/0!</v>
      </c>
      <c r="E204" s="39" t="e">
        <f t="shared" si="45"/>
        <v>#DIV/0!</v>
      </c>
      <c r="F204" s="39" t="e">
        <f t="shared" si="45"/>
        <v>#DIV/0!</v>
      </c>
      <c r="G204" s="39" t="e">
        <f t="shared" si="43"/>
        <v>#DIV/0!</v>
      </c>
      <c r="H204" s="39" t="e">
        <f t="shared" si="43"/>
        <v>#DIV/0!</v>
      </c>
      <c r="I204" s="39" t="e">
        <f t="shared" si="43"/>
        <v>#DIV/0!</v>
      </c>
      <c r="J204" s="39" t="e">
        <f t="shared" si="43"/>
        <v>#DIV/0!</v>
      </c>
      <c r="K204" s="39" t="e">
        <f t="shared" si="43"/>
        <v>#DIV/0!</v>
      </c>
      <c r="L204" s="39" t="e">
        <f t="shared" si="40"/>
        <v>#DIV/0!</v>
      </c>
      <c r="M204" s="39" t="e">
        <f t="shared" si="40"/>
        <v>#DIV/0!</v>
      </c>
      <c r="N204" s="39" t="e">
        <f t="shared" si="40"/>
        <v>#DIV/0!</v>
      </c>
      <c r="O204" s="39" t="e">
        <f t="shared" si="42"/>
        <v>#DIV/0!</v>
      </c>
      <c r="P204" s="39" t="e">
        <f t="shared" si="42"/>
        <v>#DIV/0!</v>
      </c>
      <c r="Q204" s="39" t="e">
        <f t="shared" si="48"/>
        <v>#DIV/0!</v>
      </c>
      <c r="R204" s="39" t="e">
        <f t="shared" si="48"/>
        <v>#DIV/0!</v>
      </c>
      <c r="S204" s="39" t="e">
        <f t="shared" si="48"/>
        <v>#DIV/0!</v>
      </c>
      <c r="T204" s="39" t="e">
        <f t="shared" si="48"/>
        <v>#DIV/0!</v>
      </c>
      <c r="U204" s="39" t="e">
        <f t="shared" si="48"/>
        <v>#DIV/0!</v>
      </c>
      <c r="V204" s="39" t="e">
        <f t="shared" si="48"/>
        <v>#DIV/0!</v>
      </c>
      <c r="W204"/>
    </row>
    <row r="205" spans="1:23" ht="15.75" thickBot="1">
      <c r="A205" s="706" t="s">
        <v>1618</v>
      </c>
      <c r="B205" s="717"/>
      <c r="C205" s="739"/>
      <c r="D205" s="39" t="e">
        <f t="shared" si="45"/>
        <v>#DIV/0!</v>
      </c>
      <c r="E205" s="39" t="e">
        <f t="shared" si="45"/>
        <v>#DIV/0!</v>
      </c>
      <c r="F205" s="39" t="e">
        <f t="shared" si="45"/>
        <v>#DIV/0!</v>
      </c>
      <c r="G205" s="39" t="e">
        <f t="shared" si="43"/>
        <v>#DIV/0!</v>
      </c>
      <c r="H205" s="39" t="e">
        <f t="shared" si="43"/>
        <v>#DIV/0!</v>
      </c>
      <c r="I205" s="39" t="e">
        <f t="shared" si="43"/>
        <v>#DIV/0!</v>
      </c>
      <c r="J205" s="39" t="e">
        <f t="shared" si="43"/>
        <v>#DIV/0!</v>
      </c>
      <c r="K205" s="39" t="e">
        <f t="shared" si="43"/>
        <v>#DIV/0!</v>
      </c>
      <c r="L205" s="39" t="e">
        <f t="shared" si="40"/>
        <v>#DIV/0!</v>
      </c>
      <c r="M205" s="39" t="e">
        <f t="shared" si="40"/>
        <v>#DIV/0!</v>
      </c>
      <c r="N205" s="39" t="e">
        <f t="shared" si="40"/>
        <v>#DIV/0!</v>
      </c>
      <c r="O205" s="39" t="e">
        <f t="shared" si="42"/>
        <v>#DIV/0!</v>
      </c>
      <c r="P205" s="39" t="e">
        <f t="shared" si="42"/>
        <v>#DIV/0!</v>
      </c>
      <c r="Q205" s="39" t="e">
        <f t="shared" si="48"/>
        <v>#DIV/0!</v>
      </c>
      <c r="R205" s="39" t="e">
        <f t="shared" si="48"/>
        <v>#DIV/0!</v>
      </c>
      <c r="T205" s="39" t="e">
        <f t="shared" si="48"/>
        <v>#DIV/0!</v>
      </c>
      <c r="U205" s="39" t="e">
        <f t="shared" si="48"/>
        <v>#DIV/0!</v>
      </c>
      <c r="V205" s="39" t="e">
        <f t="shared" si="48"/>
        <v>#DIV/0!</v>
      </c>
      <c r="W205"/>
    </row>
    <row r="206" spans="1:23" ht="15.75" thickBot="1">
      <c r="A206" s="800" t="s">
        <v>975</v>
      </c>
      <c r="B206" s="717"/>
      <c r="C206" s="739"/>
      <c r="D206" s="39" t="e">
        <f t="shared" si="45"/>
        <v>#DIV/0!</v>
      </c>
      <c r="E206" s="39" t="e">
        <f t="shared" si="45"/>
        <v>#DIV/0!</v>
      </c>
      <c r="F206" s="39" t="e">
        <f t="shared" si="45"/>
        <v>#DIV/0!</v>
      </c>
      <c r="G206" s="39" t="e">
        <f t="shared" si="43"/>
        <v>#DIV/0!</v>
      </c>
      <c r="H206" s="39" t="e">
        <f t="shared" si="43"/>
        <v>#DIV/0!</v>
      </c>
      <c r="I206" s="39" t="e">
        <f t="shared" si="43"/>
        <v>#DIV/0!</v>
      </c>
      <c r="J206" s="39" t="e">
        <f t="shared" si="43"/>
        <v>#DIV/0!</v>
      </c>
      <c r="K206" s="39" t="e">
        <f t="shared" si="43"/>
        <v>#DIV/0!</v>
      </c>
      <c r="L206" s="39" t="e">
        <f t="shared" si="43"/>
        <v>#DIV/0!</v>
      </c>
      <c r="M206" s="39" t="e">
        <f t="shared" si="43"/>
        <v>#DIV/0!</v>
      </c>
      <c r="N206" s="39" t="e">
        <f t="shared" si="43"/>
        <v>#DIV/0!</v>
      </c>
      <c r="O206" s="39" t="e">
        <f t="shared" ref="O206:P217" si="49">1/0</f>
        <v>#DIV/0!</v>
      </c>
      <c r="P206" s="39" t="e">
        <f t="shared" si="49"/>
        <v>#DIV/0!</v>
      </c>
      <c r="Q206" s="39" t="e">
        <f t="shared" si="48"/>
        <v>#DIV/0!</v>
      </c>
      <c r="R206" s="39" t="e">
        <f t="shared" si="48"/>
        <v>#DIV/0!</v>
      </c>
      <c r="T206" s="39" t="e">
        <f t="shared" si="48"/>
        <v>#DIV/0!</v>
      </c>
      <c r="U206" s="39" t="e">
        <f t="shared" si="48"/>
        <v>#DIV/0!</v>
      </c>
      <c r="V206" s="39" t="e">
        <f t="shared" si="48"/>
        <v>#DIV/0!</v>
      </c>
      <c r="W206"/>
    </row>
    <row r="207" spans="1:23" ht="15.75" thickBot="1">
      <c r="A207" s="686" t="s">
        <v>974</v>
      </c>
      <c r="B207" s="717"/>
      <c r="C207" s="739"/>
      <c r="D207" s="39" t="e">
        <f t="shared" si="45"/>
        <v>#DIV/0!</v>
      </c>
      <c r="E207" s="39" t="e">
        <f t="shared" si="45"/>
        <v>#DIV/0!</v>
      </c>
      <c r="F207" s="39" t="e">
        <f t="shared" si="45"/>
        <v>#DIV/0!</v>
      </c>
      <c r="G207" s="39" t="e">
        <f t="shared" si="43"/>
        <v>#DIV/0!</v>
      </c>
      <c r="H207" s="39" t="e">
        <f t="shared" si="43"/>
        <v>#DIV/0!</v>
      </c>
      <c r="I207" s="39" t="e">
        <f t="shared" si="43"/>
        <v>#DIV/0!</v>
      </c>
      <c r="J207" s="39" t="e">
        <f t="shared" si="43"/>
        <v>#DIV/0!</v>
      </c>
      <c r="K207" s="39" t="e">
        <f t="shared" si="43"/>
        <v>#DIV/0!</v>
      </c>
      <c r="L207" s="39" t="e">
        <f t="shared" si="43"/>
        <v>#DIV/0!</v>
      </c>
      <c r="M207" s="39" t="e">
        <f t="shared" si="43"/>
        <v>#DIV/0!</v>
      </c>
      <c r="N207" s="39" t="e">
        <f t="shared" si="43"/>
        <v>#DIV/0!</v>
      </c>
      <c r="O207" s="39" t="e">
        <f t="shared" si="49"/>
        <v>#DIV/0!</v>
      </c>
      <c r="P207" s="39" t="e">
        <f t="shared" si="49"/>
        <v>#DIV/0!</v>
      </c>
      <c r="Q207" s="39" t="e">
        <f t="shared" si="48"/>
        <v>#DIV/0!</v>
      </c>
      <c r="R207" s="39" t="e">
        <f t="shared" si="48"/>
        <v>#DIV/0!</v>
      </c>
      <c r="T207" s="39" t="e">
        <f t="shared" si="48"/>
        <v>#DIV/0!</v>
      </c>
      <c r="U207" s="39" t="e">
        <f t="shared" si="48"/>
        <v>#DIV/0!</v>
      </c>
      <c r="V207" s="39" t="e">
        <f t="shared" si="48"/>
        <v>#DIV/0!</v>
      </c>
      <c r="W207"/>
    </row>
    <row r="208" spans="1:23" ht="15.75" thickBot="1">
      <c r="A208" s="686" t="s">
        <v>979</v>
      </c>
      <c r="B208" s="717"/>
      <c r="C208" s="739"/>
      <c r="D208" s="39" t="e">
        <f t="shared" si="45"/>
        <v>#DIV/0!</v>
      </c>
      <c r="E208" s="39" t="e">
        <f t="shared" si="45"/>
        <v>#DIV/0!</v>
      </c>
      <c r="F208" s="39" t="e">
        <f t="shared" si="45"/>
        <v>#DIV/0!</v>
      </c>
      <c r="G208" s="39" t="e">
        <f t="shared" si="43"/>
        <v>#DIV/0!</v>
      </c>
      <c r="H208" s="39" t="e">
        <f t="shared" si="43"/>
        <v>#DIV/0!</v>
      </c>
      <c r="I208" s="39" t="e">
        <f t="shared" si="43"/>
        <v>#DIV/0!</v>
      </c>
      <c r="J208" s="39" t="e">
        <f t="shared" si="43"/>
        <v>#DIV/0!</v>
      </c>
      <c r="K208" s="39" t="e">
        <f t="shared" si="43"/>
        <v>#DIV/0!</v>
      </c>
      <c r="L208" s="39" t="e">
        <f t="shared" si="43"/>
        <v>#DIV/0!</v>
      </c>
      <c r="M208" s="39" t="e">
        <f t="shared" si="43"/>
        <v>#DIV/0!</v>
      </c>
      <c r="N208" s="39" t="e">
        <f t="shared" si="43"/>
        <v>#DIV/0!</v>
      </c>
      <c r="O208" s="39" t="e">
        <f t="shared" si="49"/>
        <v>#DIV/0!</v>
      </c>
      <c r="P208" s="39" t="e">
        <f t="shared" si="49"/>
        <v>#DIV/0!</v>
      </c>
      <c r="Q208" s="39" t="e">
        <f t="shared" si="48"/>
        <v>#DIV/0!</v>
      </c>
      <c r="R208" s="39" t="e">
        <f t="shared" si="48"/>
        <v>#DIV/0!</v>
      </c>
      <c r="T208" s="39" t="e">
        <f t="shared" si="48"/>
        <v>#DIV/0!</v>
      </c>
      <c r="U208" s="39" t="e">
        <f t="shared" si="48"/>
        <v>#DIV/0!</v>
      </c>
      <c r="V208" s="39" t="e">
        <f t="shared" si="48"/>
        <v>#DIV/0!</v>
      </c>
      <c r="W208"/>
    </row>
    <row r="209" spans="1:23" ht="15.75" thickBot="1">
      <c r="A209" s="686" t="s">
        <v>972</v>
      </c>
      <c r="B209" s="717"/>
      <c r="C209" s="739"/>
      <c r="D209" s="39" t="e">
        <f t="shared" si="45"/>
        <v>#DIV/0!</v>
      </c>
      <c r="E209" s="39" t="e">
        <f t="shared" si="45"/>
        <v>#DIV/0!</v>
      </c>
      <c r="F209" s="39" t="e">
        <f t="shared" si="45"/>
        <v>#DIV/0!</v>
      </c>
      <c r="G209" s="39" t="e">
        <f t="shared" si="43"/>
        <v>#DIV/0!</v>
      </c>
      <c r="H209" s="39" t="e">
        <f t="shared" si="43"/>
        <v>#DIV/0!</v>
      </c>
      <c r="I209" s="39" t="e">
        <f t="shared" si="43"/>
        <v>#DIV/0!</v>
      </c>
      <c r="J209" s="39" t="e">
        <f t="shared" si="43"/>
        <v>#DIV/0!</v>
      </c>
      <c r="K209" s="39" t="e">
        <f t="shared" si="43"/>
        <v>#DIV/0!</v>
      </c>
      <c r="L209" s="39" t="e">
        <f t="shared" si="43"/>
        <v>#DIV/0!</v>
      </c>
      <c r="M209" s="39" t="e">
        <f t="shared" si="43"/>
        <v>#DIV/0!</v>
      </c>
      <c r="N209" s="39" t="e">
        <f t="shared" si="43"/>
        <v>#DIV/0!</v>
      </c>
      <c r="O209" s="39" t="e">
        <f t="shared" si="49"/>
        <v>#DIV/0!</v>
      </c>
      <c r="P209" s="39" t="e">
        <f t="shared" si="49"/>
        <v>#DIV/0!</v>
      </c>
      <c r="Q209" s="39" t="e">
        <f t="shared" si="48"/>
        <v>#DIV/0!</v>
      </c>
      <c r="R209" s="39" t="e">
        <f t="shared" si="48"/>
        <v>#DIV/0!</v>
      </c>
      <c r="T209" s="39" t="e">
        <f t="shared" si="48"/>
        <v>#DIV/0!</v>
      </c>
      <c r="U209" s="39" t="e">
        <f t="shared" si="48"/>
        <v>#DIV/0!</v>
      </c>
      <c r="V209" s="39" t="e">
        <f t="shared" si="48"/>
        <v>#DIV/0!</v>
      </c>
      <c r="W209"/>
    </row>
    <row r="210" spans="1:23" ht="15.75" thickBot="1">
      <c r="A210" s="686" t="s">
        <v>978</v>
      </c>
      <c r="B210" s="717"/>
      <c r="C210" s="739"/>
      <c r="D210" s="39" t="e">
        <f t="shared" si="45"/>
        <v>#DIV/0!</v>
      </c>
      <c r="E210" s="39" t="e">
        <f t="shared" si="45"/>
        <v>#DIV/0!</v>
      </c>
      <c r="F210" s="39" t="e">
        <f t="shared" si="45"/>
        <v>#DIV/0!</v>
      </c>
      <c r="G210" s="39" t="e">
        <f t="shared" si="43"/>
        <v>#DIV/0!</v>
      </c>
      <c r="H210" s="39" t="e">
        <f t="shared" si="43"/>
        <v>#DIV/0!</v>
      </c>
      <c r="I210" s="39" t="e">
        <f t="shared" si="43"/>
        <v>#DIV/0!</v>
      </c>
      <c r="J210" s="39" t="e">
        <f t="shared" si="43"/>
        <v>#DIV/0!</v>
      </c>
      <c r="K210" s="39" t="e">
        <f t="shared" si="43"/>
        <v>#DIV/0!</v>
      </c>
      <c r="L210" s="39" t="e">
        <f t="shared" si="43"/>
        <v>#DIV/0!</v>
      </c>
      <c r="M210" s="39" t="e">
        <f t="shared" si="43"/>
        <v>#DIV/0!</v>
      </c>
      <c r="N210" s="39" t="e">
        <f t="shared" si="43"/>
        <v>#DIV/0!</v>
      </c>
      <c r="O210" s="39" t="e">
        <f t="shared" si="49"/>
        <v>#DIV/0!</v>
      </c>
      <c r="P210" s="39" t="e">
        <f t="shared" si="49"/>
        <v>#DIV/0!</v>
      </c>
      <c r="Q210" s="39" t="e">
        <f t="shared" si="48"/>
        <v>#DIV/0!</v>
      </c>
      <c r="R210" s="39" t="e">
        <f t="shared" si="48"/>
        <v>#DIV/0!</v>
      </c>
      <c r="T210" s="39" t="e">
        <f t="shared" si="48"/>
        <v>#DIV/0!</v>
      </c>
      <c r="U210" s="39" t="e">
        <f t="shared" si="48"/>
        <v>#DIV/0!</v>
      </c>
      <c r="V210" s="39" t="e">
        <f t="shared" si="48"/>
        <v>#DIV/0!</v>
      </c>
      <c r="W210"/>
    </row>
    <row r="211" spans="1:23" ht="15.75" thickBot="1">
      <c r="A211" s="686" t="s">
        <v>973</v>
      </c>
      <c r="B211" s="717"/>
      <c r="C211" s="739"/>
      <c r="D211" s="39" t="e">
        <f t="shared" si="45"/>
        <v>#DIV/0!</v>
      </c>
      <c r="E211" s="39" t="e">
        <f t="shared" si="45"/>
        <v>#DIV/0!</v>
      </c>
      <c r="F211" s="39" t="e">
        <f t="shared" si="45"/>
        <v>#DIV/0!</v>
      </c>
      <c r="G211" s="39" t="e">
        <f t="shared" si="43"/>
        <v>#DIV/0!</v>
      </c>
      <c r="H211" s="39" t="e">
        <f t="shared" si="43"/>
        <v>#DIV/0!</v>
      </c>
      <c r="I211" s="39" t="e">
        <f t="shared" si="43"/>
        <v>#DIV/0!</v>
      </c>
      <c r="J211" s="39" t="e">
        <f t="shared" si="43"/>
        <v>#DIV/0!</v>
      </c>
      <c r="K211" s="39" t="e">
        <f t="shared" si="43"/>
        <v>#DIV/0!</v>
      </c>
      <c r="L211" s="39" t="e">
        <f t="shared" si="43"/>
        <v>#DIV/0!</v>
      </c>
      <c r="M211" s="39" t="e">
        <f t="shared" si="43"/>
        <v>#DIV/0!</v>
      </c>
      <c r="N211" s="39" t="e">
        <f t="shared" si="43"/>
        <v>#DIV/0!</v>
      </c>
      <c r="O211" s="39" t="e">
        <f t="shared" si="49"/>
        <v>#DIV/0!</v>
      </c>
      <c r="P211" s="39" t="e">
        <f t="shared" si="49"/>
        <v>#DIV/0!</v>
      </c>
      <c r="Q211" s="39" t="e">
        <f t="shared" si="48"/>
        <v>#DIV/0!</v>
      </c>
      <c r="R211" s="39" t="e">
        <f t="shared" si="48"/>
        <v>#DIV/0!</v>
      </c>
      <c r="T211" s="39" t="e">
        <f t="shared" si="48"/>
        <v>#DIV/0!</v>
      </c>
      <c r="U211" s="39" t="e">
        <f t="shared" si="48"/>
        <v>#DIV/0!</v>
      </c>
      <c r="V211" s="39" t="e">
        <f t="shared" si="48"/>
        <v>#DIV/0!</v>
      </c>
      <c r="W211"/>
    </row>
    <row r="212" spans="1:23">
      <c r="A212" s="686" t="s">
        <v>976</v>
      </c>
      <c r="B212" s="717"/>
      <c r="C212" s="739"/>
      <c r="D212" s="39" t="e">
        <f t="shared" si="45"/>
        <v>#DIV/0!</v>
      </c>
      <c r="E212" s="39" t="e">
        <f t="shared" si="45"/>
        <v>#DIV/0!</v>
      </c>
      <c r="F212" s="39" t="e">
        <f t="shared" si="45"/>
        <v>#DIV/0!</v>
      </c>
      <c r="G212" s="39" t="e">
        <f t="shared" si="43"/>
        <v>#DIV/0!</v>
      </c>
      <c r="H212" s="39" t="e">
        <f t="shared" si="43"/>
        <v>#DIV/0!</v>
      </c>
      <c r="I212" s="39" t="e">
        <f t="shared" si="43"/>
        <v>#DIV/0!</v>
      </c>
      <c r="J212" s="39" t="e">
        <f t="shared" si="43"/>
        <v>#DIV/0!</v>
      </c>
      <c r="K212" s="39" t="e">
        <f t="shared" si="43"/>
        <v>#DIV/0!</v>
      </c>
      <c r="L212" s="39" t="e">
        <f t="shared" si="43"/>
        <v>#DIV/0!</v>
      </c>
      <c r="M212" s="39" t="e">
        <f t="shared" si="43"/>
        <v>#DIV/0!</v>
      </c>
      <c r="N212" s="39" t="e">
        <f t="shared" si="43"/>
        <v>#DIV/0!</v>
      </c>
      <c r="O212" s="39" t="e">
        <f t="shared" si="49"/>
        <v>#DIV/0!</v>
      </c>
      <c r="P212" s="39" t="e">
        <f t="shared" si="49"/>
        <v>#DIV/0!</v>
      </c>
      <c r="Q212" s="39" t="e">
        <f t="shared" si="48"/>
        <v>#DIV/0!</v>
      </c>
      <c r="R212" s="39" t="e">
        <f t="shared" si="48"/>
        <v>#DIV/0!</v>
      </c>
      <c r="T212" s="39" t="e">
        <f t="shared" si="48"/>
        <v>#DIV/0!</v>
      </c>
      <c r="U212" s="39" t="e">
        <f t="shared" si="48"/>
        <v>#DIV/0!</v>
      </c>
      <c r="V212" s="39" t="e">
        <f t="shared" si="48"/>
        <v>#DIV/0!</v>
      </c>
      <c r="W212"/>
    </row>
    <row r="213" spans="1:23" s="39" customFormat="1" ht="15.75" thickBot="1">
      <c r="A213" s="686" t="s">
        <v>977</v>
      </c>
      <c r="B213" s="801"/>
      <c r="C213" s="799"/>
      <c r="D213" s="39" t="e">
        <f t="shared" si="45"/>
        <v>#DIV/0!</v>
      </c>
      <c r="E213" s="39" t="e">
        <f t="shared" si="45"/>
        <v>#DIV/0!</v>
      </c>
      <c r="F213" s="39" t="e">
        <f t="shared" si="45"/>
        <v>#DIV/0!</v>
      </c>
      <c r="G213" s="39" t="e">
        <f t="shared" si="45"/>
        <v>#DIV/0!</v>
      </c>
      <c r="H213" s="39" t="e">
        <f t="shared" si="45"/>
        <v>#DIV/0!</v>
      </c>
      <c r="I213" s="39" t="e">
        <f t="shared" si="45"/>
        <v>#DIV/0!</v>
      </c>
      <c r="J213" s="39" t="e">
        <f t="shared" si="45"/>
        <v>#DIV/0!</v>
      </c>
      <c r="K213" s="39" t="e">
        <f t="shared" si="45"/>
        <v>#DIV/0!</v>
      </c>
      <c r="L213" s="39" t="e">
        <f t="shared" si="45"/>
        <v>#DIV/0!</v>
      </c>
      <c r="M213" s="39" t="e">
        <f t="shared" si="45"/>
        <v>#DIV/0!</v>
      </c>
      <c r="N213" s="39" t="e">
        <f t="shared" si="45"/>
        <v>#DIV/0!</v>
      </c>
      <c r="O213" s="39" t="e">
        <f t="shared" si="45"/>
        <v>#DIV/0!</v>
      </c>
      <c r="P213" s="39" t="e">
        <f t="shared" si="45"/>
        <v>#DIV/0!</v>
      </c>
      <c r="Q213" s="39" t="e">
        <f t="shared" si="45"/>
        <v>#DIV/0!</v>
      </c>
      <c r="R213" s="39" t="e">
        <f t="shared" si="45"/>
        <v>#DIV/0!</v>
      </c>
      <c r="T213" s="39" t="e">
        <f t="shared" si="48"/>
        <v>#DIV/0!</v>
      </c>
      <c r="U213" s="39" t="e">
        <f t="shared" si="48"/>
        <v>#DIV/0!</v>
      </c>
      <c r="V213" s="39" t="e">
        <f t="shared" si="48"/>
        <v>#DIV/0!</v>
      </c>
    </row>
    <row r="214" spans="1:23" s="39" customFormat="1" ht="15.75" thickBot="1">
      <c r="A214" s="706"/>
      <c r="B214" s="717"/>
      <c r="C214" s="739"/>
      <c r="D214" s="39" t="e">
        <f t="shared" si="45"/>
        <v>#DIV/0!</v>
      </c>
      <c r="E214" s="39" t="e">
        <f t="shared" si="45"/>
        <v>#DIV/0!</v>
      </c>
      <c r="F214" s="39" t="e">
        <f t="shared" si="45"/>
        <v>#DIV/0!</v>
      </c>
      <c r="G214" s="39" t="e">
        <f t="shared" si="43"/>
        <v>#DIV/0!</v>
      </c>
      <c r="H214" s="39" t="e">
        <f t="shared" si="43"/>
        <v>#DIV/0!</v>
      </c>
      <c r="I214" s="39" t="e">
        <f t="shared" si="43"/>
        <v>#DIV/0!</v>
      </c>
      <c r="J214" s="39" t="e">
        <f t="shared" si="43"/>
        <v>#DIV/0!</v>
      </c>
      <c r="K214" s="39" t="e">
        <f t="shared" si="43"/>
        <v>#DIV/0!</v>
      </c>
      <c r="L214" s="39" t="e">
        <f t="shared" si="43"/>
        <v>#DIV/0!</v>
      </c>
      <c r="M214" s="39" t="e">
        <f t="shared" si="43"/>
        <v>#DIV/0!</v>
      </c>
      <c r="N214" s="39" t="e">
        <f t="shared" si="43"/>
        <v>#DIV/0!</v>
      </c>
      <c r="O214" s="39" t="e">
        <f t="shared" si="49"/>
        <v>#DIV/0!</v>
      </c>
      <c r="P214" s="39" t="e">
        <f t="shared" si="49"/>
        <v>#DIV/0!</v>
      </c>
      <c r="Q214" s="39" t="e">
        <f t="shared" si="48"/>
        <v>#DIV/0!</v>
      </c>
      <c r="R214" s="39" t="e">
        <f t="shared" si="48"/>
        <v>#DIV/0!</v>
      </c>
      <c r="S214" s="39" t="e">
        <f t="shared" si="48"/>
        <v>#DIV/0!</v>
      </c>
      <c r="T214" s="39" t="e">
        <f t="shared" si="48"/>
        <v>#DIV/0!</v>
      </c>
      <c r="U214" s="39" t="e">
        <f t="shared" si="48"/>
        <v>#DIV/0!</v>
      </c>
      <c r="V214" s="39" t="e">
        <f t="shared" si="48"/>
        <v>#DIV/0!</v>
      </c>
    </row>
    <row r="215" spans="1:23" s="39" customFormat="1" ht="15.75" thickBot="1">
      <c r="A215" s="706" t="s">
        <v>1266</v>
      </c>
      <c r="B215" s="717">
        <v>1.4</v>
      </c>
      <c r="C215" s="739"/>
      <c r="D215" s="39" t="e">
        <f t="shared" ref="D215:M215" si="50">1/0</f>
        <v>#DIV/0!</v>
      </c>
      <c r="E215" s="39" t="e">
        <f t="shared" si="50"/>
        <v>#DIV/0!</v>
      </c>
      <c r="F215" s="39" t="e">
        <f t="shared" si="50"/>
        <v>#DIV/0!</v>
      </c>
      <c r="G215" s="39" t="e">
        <f t="shared" si="50"/>
        <v>#DIV/0!</v>
      </c>
      <c r="H215" s="39" t="e">
        <f t="shared" si="50"/>
        <v>#DIV/0!</v>
      </c>
      <c r="I215" s="39" t="e">
        <f t="shared" si="50"/>
        <v>#DIV/0!</v>
      </c>
      <c r="J215" s="39" t="e">
        <f t="shared" si="50"/>
        <v>#DIV/0!</v>
      </c>
      <c r="K215" s="39" t="e">
        <f t="shared" si="50"/>
        <v>#DIV/0!</v>
      </c>
      <c r="L215" s="39" t="e">
        <f t="shared" si="50"/>
        <v>#DIV/0!</v>
      </c>
      <c r="M215" s="39" t="e">
        <f t="shared" si="50"/>
        <v>#DIV/0!</v>
      </c>
      <c r="N215" s="39" t="e">
        <f t="shared" ref="N215" si="51">1/0</f>
        <v>#DIV/0!</v>
      </c>
      <c r="O215" s="713">
        <v>2.74</v>
      </c>
      <c r="P215" s="39" t="e">
        <f t="shared" si="49"/>
        <v>#DIV/0!</v>
      </c>
      <c r="Q215" s="39" t="e">
        <f t="shared" ref="Q215" si="52">1/0</f>
        <v>#DIV/0!</v>
      </c>
      <c r="R215" s="39" t="e">
        <f t="shared" si="48"/>
        <v>#DIV/0!</v>
      </c>
      <c r="S215" s="39" t="e">
        <f t="shared" si="48"/>
        <v>#DIV/0!</v>
      </c>
      <c r="T215" s="39" t="e">
        <f t="shared" si="48"/>
        <v>#DIV/0!</v>
      </c>
      <c r="U215" s="39" t="e">
        <f t="shared" si="48"/>
        <v>#DIV/0!</v>
      </c>
      <c r="V215" s="39" t="e">
        <f t="shared" si="48"/>
        <v>#DIV/0!</v>
      </c>
    </row>
    <row r="216" spans="1:23" ht="15.75" thickBot="1">
      <c r="A216" s="709">
        <v>0</v>
      </c>
      <c r="B216" s="717"/>
      <c r="C216" s="739"/>
      <c r="D216" s="39"/>
      <c r="E216" s="39"/>
      <c r="F216" s="39"/>
      <c r="G216" s="39"/>
      <c r="H216" s="39"/>
      <c r="P216" s="39" t="e">
        <f t="shared" si="49"/>
        <v>#DIV/0!</v>
      </c>
      <c r="Q216" s="39"/>
      <c r="R216" s="39" t="e">
        <f t="shared" si="48"/>
        <v>#DIV/0!</v>
      </c>
      <c r="S216" s="39" t="e">
        <f t="shared" si="48"/>
        <v>#DIV/0!</v>
      </c>
      <c r="T216" s="39" t="e">
        <f t="shared" si="48"/>
        <v>#DIV/0!</v>
      </c>
      <c r="U216" s="39" t="e">
        <f t="shared" si="48"/>
        <v>#DIV/0!</v>
      </c>
      <c r="V216" s="39" t="e">
        <f t="shared" si="48"/>
        <v>#DIV/0!</v>
      </c>
      <c r="W216"/>
    </row>
    <row r="217" spans="1:23">
      <c r="A217" s="706" t="s">
        <v>1261</v>
      </c>
      <c r="B217" s="717">
        <v>1.4</v>
      </c>
      <c r="C217" s="739"/>
      <c r="D217" s="39" t="e">
        <f t="shared" ref="D217:N217" si="53">1/0</f>
        <v>#DIV/0!</v>
      </c>
      <c r="E217" s="39" t="e">
        <f t="shared" si="53"/>
        <v>#DIV/0!</v>
      </c>
      <c r="F217" s="39" t="e">
        <f t="shared" si="53"/>
        <v>#DIV/0!</v>
      </c>
      <c r="G217" s="39" t="e">
        <f t="shared" si="53"/>
        <v>#DIV/0!</v>
      </c>
      <c r="H217" s="39" t="e">
        <f t="shared" si="53"/>
        <v>#DIV/0!</v>
      </c>
      <c r="I217" s="39" t="e">
        <f t="shared" si="53"/>
        <v>#DIV/0!</v>
      </c>
      <c r="J217" s="39" t="e">
        <f t="shared" si="53"/>
        <v>#DIV/0!</v>
      </c>
      <c r="K217" s="39" t="e">
        <f t="shared" si="53"/>
        <v>#DIV/0!</v>
      </c>
      <c r="L217" s="39" t="e">
        <f t="shared" si="53"/>
        <v>#DIV/0!</v>
      </c>
      <c r="M217" s="39" t="e">
        <f t="shared" si="53"/>
        <v>#DIV/0!</v>
      </c>
      <c r="N217" s="39" t="e">
        <f t="shared" si="53"/>
        <v>#DIV/0!</v>
      </c>
      <c r="O217" s="39" t="e">
        <f t="shared" si="49"/>
        <v>#DIV/0!</v>
      </c>
      <c r="P217" s="39">
        <v>0.75</v>
      </c>
      <c r="Q217" s="39" t="e">
        <f t="shared" ref="Q217:T217" si="54">1/0</f>
        <v>#DIV/0!</v>
      </c>
      <c r="R217" s="39" t="e">
        <f t="shared" si="54"/>
        <v>#DIV/0!</v>
      </c>
      <c r="S217" s="39" t="e">
        <f t="shared" si="54"/>
        <v>#DIV/0!</v>
      </c>
      <c r="T217" s="39" t="e">
        <f t="shared" si="54"/>
        <v>#DIV/0!</v>
      </c>
      <c r="U217" s="39" t="e">
        <f>1/0</f>
        <v>#DIV/0!</v>
      </c>
      <c r="V217" s="39" t="e">
        <f>1/0</f>
        <v>#DIV/0!</v>
      </c>
      <c r="W217"/>
    </row>
    <row r="221" spans="1:23">
      <c r="A221" s="802"/>
    </row>
  </sheetData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3"/>
  <sheetViews>
    <sheetView workbookViewId="0">
      <pane xSplit="1" ySplit="11" topLeftCell="B95" activePane="bottomRight" state="frozen"/>
      <selection pane="topRight" activeCell="B1" sqref="B1"/>
      <selection pane="bottomLeft" activeCell="A12" sqref="A12"/>
      <selection pane="bottomRight" activeCell="L110" sqref="L110"/>
    </sheetView>
  </sheetViews>
  <sheetFormatPr defaultRowHeight="15"/>
  <cols>
    <col min="1" max="1" width="32" customWidth="1"/>
    <col min="2" max="2" width="7.7109375" style="39" customWidth="1"/>
    <col min="12" max="12" width="15.28515625" customWidth="1"/>
  </cols>
  <sheetData>
    <row r="1" spans="1:17" s="39" customFormat="1">
      <c r="D1" s="39" t="s">
        <v>920</v>
      </c>
      <c r="E1" s="39" t="s">
        <v>938</v>
      </c>
      <c r="F1" s="39" t="s">
        <v>939</v>
      </c>
    </row>
    <row r="2" spans="1:17" s="39" customFormat="1">
      <c r="A2" s="39" t="s">
        <v>313</v>
      </c>
      <c r="D2" s="735">
        <f>E8</f>
        <v>0</v>
      </c>
      <c r="E2" s="735">
        <f>J8</f>
        <v>0</v>
      </c>
      <c r="F2" s="735">
        <f>O8</f>
        <v>0</v>
      </c>
    </row>
    <row r="3" spans="1:17" s="39" customFormat="1">
      <c r="A3" s="39" t="s">
        <v>314</v>
      </c>
      <c r="D3" s="735">
        <f>E10</f>
        <v>0</v>
      </c>
      <c r="E3" s="735">
        <f>J10</f>
        <v>0</v>
      </c>
      <c r="F3" s="735">
        <f>O10</f>
        <v>0</v>
      </c>
    </row>
    <row r="4" spans="1:17" s="39" customFormat="1"/>
    <row r="5" spans="1:17" s="39" customFormat="1" ht="15.75" thickBot="1"/>
    <row r="6" spans="1:17">
      <c r="A6" s="682"/>
      <c r="B6" s="682"/>
      <c r="C6" s="682"/>
      <c r="D6" s="687" t="s">
        <v>920</v>
      </c>
      <c r="E6" s="688"/>
      <c r="F6" s="34" t="s">
        <v>1263</v>
      </c>
      <c r="G6" s="689" t="s">
        <v>1267</v>
      </c>
      <c r="H6" s="39"/>
      <c r="I6" s="692" t="s">
        <v>938</v>
      </c>
      <c r="J6" s="693"/>
      <c r="K6" s="34" t="s">
        <v>1263</v>
      </c>
      <c r="L6" s="689" t="s">
        <v>1267</v>
      </c>
      <c r="M6" s="39"/>
      <c r="N6" s="696" t="s">
        <v>939</v>
      </c>
      <c r="O6" s="697"/>
      <c r="P6" s="34" t="s">
        <v>1263</v>
      </c>
      <c r="Q6" s="689" t="s">
        <v>1267</v>
      </c>
    </row>
    <row r="7" spans="1:17">
      <c r="A7" s="703" t="s">
        <v>1125</v>
      </c>
      <c r="B7" s="714"/>
      <c r="C7" s="714"/>
      <c r="D7" s="127">
        <f>Бланк!$F$10</f>
        <v>0</v>
      </c>
      <c r="E7" s="47">
        <f>IF(D7=0,0,MATCH(D7,Артвинил[#Headers],0))</f>
        <v>0</v>
      </c>
      <c r="F7" s="705" t="b">
        <f>IF(OR(Бланк!$F$9="_металл",Бланк!$F$9="металл"),IF(OR(E8&gt;0,E7&gt;0),"Ошибка"),0)</f>
        <v>0</v>
      </c>
      <c r="G7" s="716">
        <f>IF(OR(Бланк!$F$9="металл",Бланк!$F$9="Фанера"),"",IF(Бланк!$X$3&gt;2190,VLOOKUP(D8,Артвинил[],E7,0)*1.4+80/RUR,0))</f>
        <v>0</v>
      </c>
      <c r="H7" s="39"/>
      <c r="I7" s="694">
        <f>Бланк!$F$26</f>
        <v>0</v>
      </c>
      <c r="J7" s="47">
        <f>IF(I7=0,0,MATCH(I7,Артвинил[#Headers],0))</f>
        <v>0</v>
      </c>
      <c r="K7" s="705" t="b">
        <f>IF(OR(Бланк!$F$25="_металл",Бланк!$F$25="металл"),IF(OR(J8&gt;0,J7&gt;0),"Ошибка"),0)</f>
        <v>0</v>
      </c>
      <c r="L7" s="716">
        <f>IF(Бланк!$X$19&gt;2190,VLOOKUP(I8,Артвинил[],J7,0)*1.4+80/RUR,0)</f>
        <v>0</v>
      </c>
      <c r="M7" s="39"/>
      <c r="N7" s="698" t="str">
        <f>Бланк!$F$42</f>
        <v>ПВХ_Стандарт</v>
      </c>
      <c r="O7" s="47">
        <f>IF(N7=0,0,MATCH(N7,Артвинил[#Headers],0))</f>
        <v>2</v>
      </c>
      <c r="P7" s="705">
        <f>IF(OR(Бланк!$F$41="_металл",Бланк!$F$41="металл"),IF(OR(O8&gt;0,O7&gt;0),"Ошибка"),0)</f>
        <v>0</v>
      </c>
      <c r="Q7" s="716">
        <f>IF(Бланк!$X$35&gt;2190,VLOOKUP(N8,Артвинил[],O7,0)*1.4+80/RUR,0)</f>
        <v>0</v>
      </c>
    </row>
    <row r="8" spans="1:17">
      <c r="A8" s="39"/>
      <c r="C8" s="39"/>
      <c r="D8" s="127">
        <f>Бланк!$I$10</f>
        <v>0</v>
      </c>
      <c r="E8" s="704">
        <f>IF(Бланк!E10="АВ",IF(D8=0,0,(VLOOKUP(D8,Артвинил[],E7,0)*1.4*2.5*G8-'Плёнка ПДТ'!$D$16*1.4*2.5*G8))*1.2,0)</f>
        <v>0</v>
      </c>
      <c r="F8" s="39"/>
      <c r="G8" s="803">
        <f>'Плёнка ПДТ'!G12</f>
        <v>1.22</v>
      </c>
      <c r="H8" s="39"/>
      <c r="I8" s="694">
        <f>Бланк!$I$26</f>
        <v>0</v>
      </c>
      <c r="J8" s="704">
        <f>IF(Бланк!E26="АВ",IF(I8=0,0,(VLOOKUP(I8,Артвинил[],J7,0)*1.4*2.5*L8-'Плёнка ПДТ'!$D$16*1.4*2.5*L8))*1.2,0)</f>
        <v>0</v>
      </c>
      <c r="K8" s="39"/>
      <c r="L8" s="803">
        <f>G8</f>
        <v>1.22</v>
      </c>
      <c r="M8" s="39"/>
      <c r="N8" s="698">
        <f>Бланк!$I$42</f>
        <v>0</v>
      </c>
      <c r="O8" s="704">
        <f>IF(Бланк!E42="АВ",IF(N8=0,0,(VLOOKUP(N8,Артвинил[],O7,0)*1.4*2.5*Q8-'Плёнка ПДТ'!$D$16*1.4*2.5*Q8))*1.2,0)</f>
        <v>0</v>
      </c>
      <c r="P8" s="39"/>
      <c r="Q8" s="803">
        <f>G8</f>
        <v>1.22</v>
      </c>
    </row>
    <row r="9" spans="1:17">
      <c r="A9" s="703" t="s">
        <v>1259</v>
      </c>
      <c r="B9" s="714"/>
      <c r="C9" s="714"/>
      <c r="D9" s="690">
        <f>Бланк!$F$12</f>
        <v>0</v>
      </c>
      <c r="E9" s="47">
        <f>IF(D9=0,0,MATCH(D9,Артвинил[#Headers],0))</f>
        <v>0</v>
      </c>
      <c r="F9" s="705">
        <f>IF(OR(Бланк!$F$11="металл_",Бланк!$F$11="металл",Бланк!$F$11="ДСП"),IF(OR(E10&gt;0,E9&gt;0),"Ошибка"),0)</f>
        <v>0</v>
      </c>
      <c r="G9" s="716">
        <f>IF(OR(Бланк!$F$11="ДСП",Бланк!$F$11="металл_"),"",IF(Бланк!$X$3&gt;2205,VLOOKUP(D10,Артвинил[],E9,0)*1.4+70/RUR,0))</f>
        <v>0</v>
      </c>
      <c r="H9" s="39"/>
      <c r="I9" s="694">
        <f>Бланк!$F$28</f>
        <v>0</v>
      </c>
      <c r="J9" s="47">
        <f>IF(I9=0,0,MATCH(I9,Артвинил[#Headers],0))</f>
        <v>0</v>
      </c>
      <c r="K9" s="705">
        <f>IF(OR(Бланк!$F$27="_металл",Бланк!$F$27="металл",Бланк!$F$27="ДСП"),IF(OR(J10&gt;0,J9&gt;0),"Ошибка"),0)</f>
        <v>0</v>
      </c>
      <c r="L9" s="700">
        <f>J10*'Плёнка ПДТ'!$A$10*2.5*1.1</f>
        <v>0</v>
      </c>
      <c r="M9" s="39"/>
      <c r="N9" s="698" t="str">
        <f>Бланк!$F$44</f>
        <v>ПВХ_Стандарт</v>
      </c>
      <c r="O9" s="47">
        <f>IF(N9=0,0,MATCH(N9,Артвинил[#Headers],0))</f>
        <v>2</v>
      </c>
      <c r="P9" s="705">
        <f>IF(OR(Бланк!$F$43="_металл",Бланк!$F$43="ДСП"),IF(OR(O10&gt;0,O9&gt;0),"Ошибка"),0)</f>
        <v>0</v>
      </c>
      <c r="Q9" s="700"/>
    </row>
    <row r="10" spans="1:17" ht="19.5" thickBot="1">
      <c r="A10" s="347" t="str">
        <f>'Плёнка ПДТ'!T6</f>
        <v>АВ</v>
      </c>
      <c r="B10" s="347"/>
      <c r="C10" s="347"/>
      <c r="D10" s="691">
        <f>Бланк!$I$12</f>
        <v>0</v>
      </c>
      <c r="E10" s="704">
        <f>IF(Бланк!E12="АВ",(VLOOKUP(D10,Артвинил[],E9,0)-'Плёнка ПДТ'!$D$16)*1.4*2.5*1.2+G9,0)</f>
        <v>0</v>
      </c>
      <c r="F10" s="705"/>
      <c r="G10" s="723"/>
      <c r="H10" s="39"/>
      <c r="I10" s="695">
        <f>Бланк!$I$28</f>
        <v>0</v>
      </c>
      <c r="J10" s="704">
        <f>IF(Бланк!E28="АВ",IF(I10=0,0,(VLOOKUP(I10,Артвинил[],J9,0)-'Плёнка ПДТ'!$D$16))*1.4*2.5*1.2,0)</f>
        <v>0</v>
      </c>
      <c r="K10" s="29"/>
      <c r="L10" s="701"/>
      <c r="M10" s="39"/>
      <c r="N10" s="699">
        <f>Бланк!$I$44</f>
        <v>0</v>
      </c>
      <c r="O10" s="704">
        <f>IF(Бланк!E44="АВ",IF(N10=0,0,(VLOOKUP(N10,Артвинил[],O9,0)-'Плёнка ПДТ'!$D$16)*1.4*2.5)*1.2,0)</f>
        <v>0</v>
      </c>
      <c r="P10" s="29"/>
      <c r="Q10" s="701"/>
    </row>
    <row r="11" spans="1:17" ht="45">
      <c r="A11" s="724" t="s">
        <v>720</v>
      </c>
      <c r="B11" s="724" t="s">
        <v>485</v>
      </c>
      <c r="C11" s="725" t="s">
        <v>1274</v>
      </c>
      <c r="D11" s="725" t="s">
        <v>1275</v>
      </c>
      <c r="E11" s="725" t="s">
        <v>1276</v>
      </c>
      <c r="F11" s="725" t="s">
        <v>1277</v>
      </c>
      <c r="G11" s="725" t="s">
        <v>1278</v>
      </c>
      <c r="H11" s="725" t="s">
        <v>1279</v>
      </c>
      <c r="I11" s="725" t="s">
        <v>1280</v>
      </c>
      <c r="J11" s="725" t="s">
        <v>1281</v>
      </c>
      <c r="K11" s="725" t="s">
        <v>1282</v>
      </c>
      <c r="L11" s="725" t="s">
        <v>1339</v>
      </c>
      <c r="M11" s="725" t="s">
        <v>1283</v>
      </c>
      <c r="O11" s="485"/>
      <c r="P11" s="485"/>
      <c r="Q11" s="485"/>
    </row>
    <row r="12" spans="1:17" ht="15.75">
      <c r="A12" s="726" t="s">
        <v>1360</v>
      </c>
      <c r="B12" s="728" t="e">
        <f t="shared" ref="B12:M27" si="0">1/0</f>
        <v>#DIV/0!</v>
      </c>
      <c r="C12" s="727">
        <v>3.34</v>
      </c>
      <c r="D12" s="728" t="e">
        <f t="shared" si="0"/>
        <v>#DIV/0!</v>
      </c>
      <c r="E12" s="732" t="e">
        <f t="shared" si="0"/>
        <v>#DIV/0!</v>
      </c>
      <c r="F12" s="732" t="e">
        <f t="shared" si="0"/>
        <v>#DIV/0!</v>
      </c>
      <c r="G12" s="732" t="e">
        <f t="shared" si="0"/>
        <v>#DIV/0!</v>
      </c>
      <c r="H12" s="732" t="e">
        <f t="shared" si="0"/>
        <v>#DIV/0!</v>
      </c>
      <c r="I12" s="732" t="e">
        <f t="shared" si="0"/>
        <v>#DIV/0!</v>
      </c>
      <c r="J12" s="732" t="e">
        <f t="shared" si="0"/>
        <v>#DIV/0!</v>
      </c>
      <c r="K12" s="732" t="e">
        <f t="shared" si="0"/>
        <v>#DIV/0!</v>
      </c>
      <c r="L12" s="732" t="e">
        <f t="shared" si="0"/>
        <v>#DIV/0!</v>
      </c>
      <c r="M12" s="732" t="e">
        <f t="shared" si="0"/>
        <v>#DIV/0!</v>
      </c>
    </row>
    <row r="13" spans="1:17" ht="15.75">
      <c r="A13" s="726" t="s">
        <v>1361</v>
      </c>
      <c r="B13" s="728" t="e">
        <f t="shared" si="0"/>
        <v>#DIV/0!</v>
      </c>
      <c r="C13" s="727">
        <v>3.34</v>
      </c>
      <c r="D13" s="728" t="e">
        <f t="shared" si="0"/>
        <v>#DIV/0!</v>
      </c>
      <c r="E13" s="732" t="e">
        <f t="shared" si="0"/>
        <v>#DIV/0!</v>
      </c>
      <c r="F13" s="732" t="e">
        <f t="shared" si="0"/>
        <v>#DIV/0!</v>
      </c>
      <c r="G13" s="732" t="e">
        <f t="shared" si="0"/>
        <v>#DIV/0!</v>
      </c>
      <c r="H13" s="732" t="e">
        <f t="shared" si="0"/>
        <v>#DIV/0!</v>
      </c>
      <c r="I13" s="732" t="e">
        <f t="shared" si="0"/>
        <v>#DIV/0!</v>
      </c>
      <c r="J13" s="732" t="e">
        <f t="shared" si="0"/>
        <v>#DIV/0!</v>
      </c>
      <c r="K13" s="732" t="e">
        <f t="shared" si="0"/>
        <v>#DIV/0!</v>
      </c>
      <c r="L13" s="732" t="e">
        <f t="shared" si="0"/>
        <v>#DIV/0!</v>
      </c>
      <c r="M13" s="732" t="e">
        <f t="shared" si="0"/>
        <v>#DIV/0!</v>
      </c>
    </row>
    <row r="14" spans="1:17" ht="15.75">
      <c r="A14" s="726" t="s">
        <v>1362</v>
      </c>
      <c r="B14" s="728" t="e">
        <f t="shared" si="0"/>
        <v>#DIV/0!</v>
      </c>
      <c r="C14" s="727">
        <v>3.34</v>
      </c>
      <c r="D14" s="728" t="e">
        <f t="shared" si="0"/>
        <v>#DIV/0!</v>
      </c>
      <c r="E14" s="732" t="e">
        <f t="shared" si="0"/>
        <v>#DIV/0!</v>
      </c>
      <c r="F14" s="732" t="e">
        <f t="shared" si="0"/>
        <v>#DIV/0!</v>
      </c>
      <c r="G14" s="732" t="e">
        <f t="shared" si="0"/>
        <v>#DIV/0!</v>
      </c>
      <c r="H14" s="732" t="e">
        <f t="shared" si="0"/>
        <v>#DIV/0!</v>
      </c>
      <c r="I14" s="732" t="e">
        <f t="shared" si="0"/>
        <v>#DIV/0!</v>
      </c>
      <c r="J14" s="732" t="e">
        <f t="shared" si="0"/>
        <v>#DIV/0!</v>
      </c>
      <c r="K14" s="732" t="e">
        <f t="shared" si="0"/>
        <v>#DIV/0!</v>
      </c>
      <c r="L14" s="732" t="e">
        <f t="shared" si="0"/>
        <v>#DIV/0!</v>
      </c>
      <c r="M14" s="732" t="e">
        <f t="shared" si="0"/>
        <v>#DIV/0!</v>
      </c>
    </row>
    <row r="15" spans="1:17" ht="15.75">
      <c r="A15" s="726" t="s">
        <v>1363</v>
      </c>
      <c r="B15" s="728" t="e">
        <f t="shared" si="0"/>
        <v>#DIV/0!</v>
      </c>
      <c r="C15" s="727">
        <v>3.34</v>
      </c>
      <c r="D15" s="728" t="e">
        <f t="shared" si="0"/>
        <v>#DIV/0!</v>
      </c>
      <c r="E15" s="732" t="e">
        <f t="shared" si="0"/>
        <v>#DIV/0!</v>
      </c>
      <c r="F15" s="732" t="e">
        <f t="shared" si="0"/>
        <v>#DIV/0!</v>
      </c>
      <c r="G15" s="732" t="e">
        <f t="shared" si="0"/>
        <v>#DIV/0!</v>
      </c>
      <c r="H15" s="732" t="e">
        <f t="shared" si="0"/>
        <v>#DIV/0!</v>
      </c>
      <c r="I15" s="732" t="e">
        <f t="shared" si="0"/>
        <v>#DIV/0!</v>
      </c>
      <c r="J15" s="732" t="e">
        <f t="shared" si="0"/>
        <v>#DIV/0!</v>
      </c>
      <c r="K15" s="732" t="e">
        <f t="shared" si="0"/>
        <v>#DIV/0!</v>
      </c>
      <c r="L15" s="732" t="e">
        <f t="shared" si="0"/>
        <v>#DIV/0!</v>
      </c>
      <c r="M15" s="732" t="e">
        <f t="shared" si="0"/>
        <v>#DIV/0!</v>
      </c>
    </row>
    <row r="16" spans="1:17" ht="15.75">
      <c r="A16" s="726" t="s">
        <v>1364</v>
      </c>
      <c r="B16" s="728" t="e">
        <f t="shared" si="0"/>
        <v>#DIV/0!</v>
      </c>
      <c r="C16" s="727">
        <v>3.34</v>
      </c>
      <c r="D16" s="728" t="e">
        <f t="shared" si="0"/>
        <v>#DIV/0!</v>
      </c>
      <c r="E16" s="732" t="e">
        <f t="shared" si="0"/>
        <v>#DIV/0!</v>
      </c>
      <c r="F16" s="732" t="e">
        <f t="shared" si="0"/>
        <v>#DIV/0!</v>
      </c>
      <c r="G16" s="732" t="e">
        <f t="shared" si="0"/>
        <v>#DIV/0!</v>
      </c>
      <c r="H16" s="732" t="e">
        <f t="shared" si="0"/>
        <v>#DIV/0!</v>
      </c>
      <c r="I16" s="732" t="e">
        <f t="shared" si="0"/>
        <v>#DIV/0!</v>
      </c>
      <c r="J16" s="732" t="e">
        <f t="shared" si="0"/>
        <v>#DIV/0!</v>
      </c>
      <c r="K16" s="732" t="e">
        <f t="shared" si="0"/>
        <v>#DIV/0!</v>
      </c>
      <c r="L16" s="732" t="e">
        <f t="shared" si="0"/>
        <v>#DIV/0!</v>
      </c>
      <c r="M16" s="732" t="e">
        <f t="shared" si="0"/>
        <v>#DIV/0!</v>
      </c>
    </row>
    <row r="17" spans="1:17" ht="15.75">
      <c r="A17" s="726" t="s">
        <v>1365</v>
      </c>
      <c r="B17" s="728" t="e">
        <f t="shared" si="0"/>
        <v>#DIV/0!</v>
      </c>
      <c r="C17" s="727">
        <v>3.34</v>
      </c>
      <c r="D17" s="728" t="e">
        <f t="shared" si="0"/>
        <v>#DIV/0!</v>
      </c>
      <c r="E17" s="732" t="e">
        <f t="shared" si="0"/>
        <v>#DIV/0!</v>
      </c>
      <c r="F17" s="732" t="e">
        <f t="shared" si="0"/>
        <v>#DIV/0!</v>
      </c>
      <c r="G17" s="732" t="e">
        <f t="shared" si="0"/>
        <v>#DIV/0!</v>
      </c>
      <c r="H17" s="732" t="e">
        <f t="shared" si="0"/>
        <v>#DIV/0!</v>
      </c>
      <c r="I17" s="732" t="e">
        <f t="shared" si="0"/>
        <v>#DIV/0!</v>
      </c>
      <c r="J17" s="732" t="e">
        <f t="shared" si="0"/>
        <v>#DIV/0!</v>
      </c>
      <c r="K17" s="732" t="e">
        <f t="shared" si="0"/>
        <v>#DIV/0!</v>
      </c>
      <c r="L17" s="732" t="e">
        <f t="shared" si="0"/>
        <v>#DIV/0!</v>
      </c>
      <c r="M17" s="732" t="e">
        <f t="shared" si="0"/>
        <v>#DIV/0!</v>
      </c>
    </row>
    <row r="18" spans="1:17" ht="15.75">
      <c r="A18" s="726" t="s">
        <v>1366</v>
      </c>
      <c r="B18" s="728" t="e">
        <f t="shared" si="0"/>
        <v>#DIV/0!</v>
      </c>
      <c r="C18" s="727">
        <v>3.34</v>
      </c>
      <c r="D18" s="728" t="e">
        <f t="shared" si="0"/>
        <v>#DIV/0!</v>
      </c>
      <c r="E18" s="732" t="e">
        <f t="shared" si="0"/>
        <v>#DIV/0!</v>
      </c>
      <c r="F18" s="732" t="e">
        <f t="shared" si="0"/>
        <v>#DIV/0!</v>
      </c>
      <c r="G18" s="732" t="e">
        <f t="shared" si="0"/>
        <v>#DIV/0!</v>
      </c>
      <c r="H18" s="732" t="e">
        <f t="shared" si="0"/>
        <v>#DIV/0!</v>
      </c>
      <c r="I18" s="732" t="e">
        <f t="shared" si="0"/>
        <v>#DIV/0!</v>
      </c>
      <c r="J18" s="732" t="e">
        <f t="shared" si="0"/>
        <v>#DIV/0!</v>
      </c>
      <c r="K18" s="732" t="e">
        <f t="shared" si="0"/>
        <v>#DIV/0!</v>
      </c>
      <c r="L18" s="732" t="e">
        <f t="shared" si="0"/>
        <v>#DIV/0!</v>
      </c>
      <c r="M18" s="732" t="e">
        <f t="shared" si="0"/>
        <v>#DIV/0!</v>
      </c>
    </row>
    <row r="19" spans="1:17" ht="15.75">
      <c r="A19" s="726" t="s">
        <v>1367</v>
      </c>
      <c r="B19" s="728" t="e">
        <f t="shared" si="0"/>
        <v>#DIV/0!</v>
      </c>
      <c r="C19" s="727">
        <v>3.34</v>
      </c>
      <c r="D19" s="728" t="e">
        <f t="shared" si="0"/>
        <v>#DIV/0!</v>
      </c>
      <c r="E19" s="732" t="e">
        <f t="shared" si="0"/>
        <v>#DIV/0!</v>
      </c>
      <c r="F19" s="732" t="e">
        <f t="shared" si="0"/>
        <v>#DIV/0!</v>
      </c>
      <c r="G19" s="732" t="e">
        <f t="shared" si="0"/>
        <v>#DIV/0!</v>
      </c>
      <c r="H19" s="732" t="e">
        <f t="shared" si="0"/>
        <v>#DIV/0!</v>
      </c>
      <c r="I19" s="732" t="e">
        <f t="shared" si="0"/>
        <v>#DIV/0!</v>
      </c>
      <c r="J19" s="732" t="e">
        <f t="shared" si="0"/>
        <v>#DIV/0!</v>
      </c>
      <c r="K19" s="732" t="e">
        <f t="shared" si="0"/>
        <v>#DIV/0!</v>
      </c>
      <c r="L19" s="732" t="e">
        <f t="shared" si="0"/>
        <v>#DIV/0!</v>
      </c>
      <c r="M19" s="732" t="e">
        <f t="shared" si="0"/>
        <v>#DIV/0!</v>
      </c>
    </row>
    <row r="20" spans="1:17" ht="15.75">
      <c r="A20" s="726" t="s">
        <v>1368</v>
      </c>
      <c r="B20" s="728" t="e">
        <f t="shared" si="0"/>
        <v>#DIV/0!</v>
      </c>
      <c r="C20" s="727">
        <v>3.34</v>
      </c>
      <c r="D20" s="728" t="e">
        <f t="shared" si="0"/>
        <v>#DIV/0!</v>
      </c>
      <c r="E20" s="732" t="e">
        <f t="shared" si="0"/>
        <v>#DIV/0!</v>
      </c>
      <c r="F20" s="732" t="e">
        <f t="shared" si="0"/>
        <v>#DIV/0!</v>
      </c>
      <c r="G20" s="732" t="e">
        <f t="shared" si="0"/>
        <v>#DIV/0!</v>
      </c>
      <c r="H20" s="732" t="e">
        <f t="shared" si="0"/>
        <v>#DIV/0!</v>
      </c>
      <c r="I20" s="732" t="e">
        <f t="shared" si="0"/>
        <v>#DIV/0!</v>
      </c>
      <c r="J20" s="732" t="e">
        <f t="shared" si="0"/>
        <v>#DIV/0!</v>
      </c>
      <c r="K20" s="732" t="e">
        <f t="shared" si="0"/>
        <v>#DIV/0!</v>
      </c>
      <c r="L20" s="732" t="e">
        <f t="shared" si="0"/>
        <v>#DIV/0!</v>
      </c>
      <c r="M20" s="732" t="e">
        <f t="shared" si="0"/>
        <v>#DIV/0!</v>
      </c>
    </row>
    <row r="21" spans="1:17">
      <c r="A21" s="726" t="s">
        <v>1369</v>
      </c>
      <c r="B21" s="728" t="e">
        <f t="shared" si="0"/>
        <v>#DIV/0!</v>
      </c>
      <c r="C21" s="727">
        <v>3.34</v>
      </c>
      <c r="D21" s="39" t="e">
        <f t="shared" si="0"/>
        <v>#DIV/0!</v>
      </c>
      <c r="E21" s="39" t="e">
        <f t="shared" si="0"/>
        <v>#DIV/0!</v>
      </c>
      <c r="F21" s="39" t="e">
        <f t="shared" si="0"/>
        <v>#DIV/0!</v>
      </c>
      <c r="G21" s="39" t="e">
        <f t="shared" si="0"/>
        <v>#DIV/0!</v>
      </c>
      <c r="H21" s="39" t="e">
        <f t="shared" si="0"/>
        <v>#DIV/0!</v>
      </c>
      <c r="I21" s="39" t="e">
        <f t="shared" si="0"/>
        <v>#DIV/0!</v>
      </c>
      <c r="J21" s="39" t="e">
        <f t="shared" si="0"/>
        <v>#DIV/0!</v>
      </c>
      <c r="K21" s="39" t="e">
        <f t="shared" si="0"/>
        <v>#DIV/0!</v>
      </c>
      <c r="L21" s="39" t="e">
        <f t="shared" si="0"/>
        <v>#DIV/0!</v>
      </c>
      <c r="M21" s="39" t="e">
        <f t="shared" si="0"/>
        <v>#DIV/0!</v>
      </c>
    </row>
    <row r="22" spans="1:17" ht="15.75">
      <c r="A22" s="729">
        <v>0</v>
      </c>
      <c r="B22" s="728">
        <v>1.7</v>
      </c>
      <c r="C22" s="729">
        <f>Артвинил[[#This Row],[ПВХ_Стандарт]]</f>
        <v>1.7</v>
      </c>
      <c r="D22" s="729">
        <f>Артвинил[[#This Row],[Антискрэтч_026]]</f>
        <v>1.7</v>
      </c>
      <c r="E22" s="729">
        <f>Артвинил[[#This Row],[Глянец_032]]</f>
        <v>1.7</v>
      </c>
      <c r="F22" s="729">
        <f>Артвинил[[#This Row],[Наруж_025]]</f>
        <v>1.7</v>
      </c>
      <c r="G22" s="729">
        <f>Артвинил[[#This Row],[Внутр_012]]</f>
        <v>1.7</v>
      </c>
      <c r="H22" s="729">
        <f>Артвинил[[#This Row],[Матовая_018]]</f>
        <v>1.7</v>
      </c>
      <c r="I22" s="729">
        <f>Артвинил[[#This Row],[Матовая_025]]</f>
        <v>1.7</v>
      </c>
      <c r="J22" s="729">
        <f>Артвинил[[#This Row],[Матовая_03]]</f>
        <v>1.7</v>
      </c>
      <c r="K22" s="729">
        <f>Артвинил[[#This Row],[Софт_025_026]]</f>
        <v>1.7</v>
      </c>
      <c r="L22" s="729">
        <f>Артвинил[[#This Row],[Софт_016]]</f>
        <v>1.7</v>
      </c>
      <c r="M22" s="729">
        <f>Артвинил[[#This Row],[Шагрень_АВ]]</f>
        <v>1.7</v>
      </c>
    </row>
    <row r="23" spans="1:17">
      <c r="A23" s="726" t="s">
        <v>1370</v>
      </c>
      <c r="B23" s="728" t="e">
        <f t="shared" si="0"/>
        <v>#DIV/0!</v>
      </c>
      <c r="C23" s="39" t="e">
        <f>1/0</f>
        <v>#DIV/0!</v>
      </c>
      <c r="D23" s="727">
        <v>3.12</v>
      </c>
      <c r="E23" s="39" t="e">
        <f t="shared" ref="E23:M25" si="1">1/0</f>
        <v>#DIV/0!</v>
      </c>
      <c r="F23" s="39" t="e">
        <f t="shared" si="1"/>
        <v>#DIV/0!</v>
      </c>
      <c r="G23" s="39" t="e">
        <f t="shared" si="1"/>
        <v>#DIV/0!</v>
      </c>
      <c r="H23" s="39" t="e">
        <f t="shared" si="1"/>
        <v>#DIV/0!</v>
      </c>
      <c r="I23" s="39" t="e">
        <f t="shared" si="1"/>
        <v>#DIV/0!</v>
      </c>
      <c r="J23" s="39" t="e">
        <f t="shared" si="1"/>
        <v>#DIV/0!</v>
      </c>
      <c r="K23" s="39" t="e">
        <f t="shared" si="1"/>
        <v>#DIV/0!</v>
      </c>
      <c r="L23" s="39" t="e">
        <f t="shared" si="1"/>
        <v>#DIV/0!</v>
      </c>
      <c r="M23" s="39" t="e">
        <f t="shared" si="1"/>
        <v>#DIV/0!</v>
      </c>
    </row>
    <row r="24" spans="1:17">
      <c r="A24" s="726" t="s">
        <v>1371</v>
      </c>
      <c r="B24" s="728" t="e">
        <f t="shared" si="0"/>
        <v>#DIV/0!</v>
      </c>
      <c r="C24" s="39" t="e">
        <f>1/0</f>
        <v>#DIV/0!</v>
      </c>
      <c r="D24" s="727">
        <v>3.12</v>
      </c>
      <c r="E24" s="39" t="e">
        <f t="shared" si="1"/>
        <v>#DIV/0!</v>
      </c>
      <c r="F24" s="39" t="e">
        <f t="shared" si="1"/>
        <v>#DIV/0!</v>
      </c>
      <c r="G24" s="39" t="e">
        <f t="shared" si="1"/>
        <v>#DIV/0!</v>
      </c>
      <c r="H24" s="39" t="e">
        <f t="shared" si="1"/>
        <v>#DIV/0!</v>
      </c>
      <c r="I24" s="39" t="e">
        <f t="shared" si="1"/>
        <v>#DIV/0!</v>
      </c>
      <c r="J24" s="39" t="e">
        <f t="shared" si="1"/>
        <v>#DIV/0!</v>
      </c>
      <c r="K24" s="39" t="e">
        <f t="shared" si="1"/>
        <v>#DIV/0!</v>
      </c>
      <c r="L24" s="39" t="e">
        <f t="shared" si="1"/>
        <v>#DIV/0!</v>
      </c>
      <c r="M24" s="39" t="e">
        <f t="shared" si="1"/>
        <v>#DIV/0!</v>
      </c>
    </row>
    <row r="25" spans="1:17" ht="15.75">
      <c r="A25" s="729"/>
      <c r="B25" s="728" t="e">
        <f t="shared" si="0"/>
        <v>#DIV/0!</v>
      </c>
      <c r="C25" s="39" t="e">
        <f>1/0</f>
        <v>#DIV/0!</v>
      </c>
      <c r="D25" s="39" t="e">
        <f>1/0</f>
        <v>#DIV/0!</v>
      </c>
      <c r="E25" s="39" t="e">
        <f t="shared" si="1"/>
        <v>#DIV/0!</v>
      </c>
      <c r="F25" s="39" t="e">
        <f t="shared" si="1"/>
        <v>#DIV/0!</v>
      </c>
      <c r="G25" s="39" t="e">
        <f t="shared" si="1"/>
        <v>#DIV/0!</v>
      </c>
      <c r="H25" s="39" t="e">
        <f t="shared" si="1"/>
        <v>#DIV/0!</v>
      </c>
      <c r="I25" s="39" t="e">
        <f t="shared" si="1"/>
        <v>#DIV/0!</v>
      </c>
      <c r="J25" s="39" t="e">
        <f t="shared" si="1"/>
        <v>#DIV/0!</v>
      </c>
      <c r="K25" s="39" t="e">
        <f t="shared" si="1"/>
        <v>#DIV/0!</v>
      </c>
      <c r="L25" s="39" t="e">
        <f t="shared" si="1"/>
        <v>#DIV/0!</v>
      </c>
      <c r="M25" s="39" t="e">
        <f t="shared" si="1"/>
        <v>#DIV/0!</v>
      </c>
    </row>
    <row r="26" spans="1:17">
      <c r="A26" s="726" t="s">
        <v>1372</v>
      </c>
      <c r="B26" s="728" t="e">
        <f t="shared" si="0"/>
        <v>#DIV/0!</v>
      </c>
      <c r="C26" s="39" t="e">
        <f>1/0</f>
        <v>#DIV/0!</v>
      </c>
      <c r="D26" s="39" t="e">
        <f>1/0</f>
        <v>#DIV/0!</v>
      </c>
      <c r="E26" s="727">
        <v>3.5</v>
      </c>
      <c r="F26" s="39" t="e">
        <f t="shared" ref="F26:M27" si="2">1/0</f>
        <v>#DIV/0!</v>
      </c>
      <c r="G26" s="39" t="e">
        <f t="shared" si="2"/>
        <v>#DIV/0!</v>
      </c>
      <c r="H26" s="39" t="e">
        <f t="shared" si="2"/>
        <v>#DIV/0!</v>
      </c>
      <c r="I26" s="39" t="e">
        <f t="shared" si="2"/>
        <v>#DIV/0!</v>
      </c>
      <c r="J26" s="39" t="e">
        <f t="shared" si="2"/>
        <v>#DIV/0!</v>
      </c>
      <c r="K26" s="39" t="e">
        <f t="shared" si="2"/>
        <v>#DIV/0!</v>
      </c>
      <c r="L26" s="39" t="e">
        <f t="shared" si="2"/>
        <v>#DIV/0!</v>
      </c>
      <c r="M26" s="39" t="e">
        <f t="shared" si="2"/>
        <v>#DIV/0!</v>
      </c>
      <c r="N26" s="39"/>
      <c r="O26" s="39"/>
      <c r="P26" s="39"/>
      <c r="Q26" s="39"/>
    </row>
    <row r="27" spans="1:17">
      <c r="A27" s="726" t="s">
        <v>1373</v>
      </c>
      <c r="B27" s="728" t="e">
        <f t="shared" si="0"/>
        <v>#DIV/0!</v>
      </c>
      <c r="C27" s="39" t="e">
        <f>1/0</f>
        <v>#DIV/0!</v>
      </c>
      <c r="D27" s="39" t="e">
        <f>1/0</f>
        <v>#DIV/0!</v>
      </c>
      <c r="E27" s="727">
        <v>3.5</v>
      </c>
      <c r="F27" s="39" t="e">
        <f t="shared" si="2"/>
        <v>#DIV/0!</v>
      </c>
      <c r="G27" s="39" t="e">
        <f t="shared" si="2"/>
        <v>#DIV/0!</v>
      </c>
      <c r="H27" s="39" t="e">
        <f t="shared" si="2"/>
        <v>#DIV/0!</v>
      </c>
      <c r="I27" s="39" t="e">
        <f t="shared" si="2"/>
        <v>#DIV/0!</v>
      </c>
      <c r="J27" s="39" t="e">
        <f t="shared" si="2"/>
        <v>#DIV/0!</v>
      </c>
      <c r="K27" s="39" t="e">
        <f t="shared" si="2"/>
        <v>#DIV/0!</v>
      </c>
      <c r="L27" s="39" t="e">
        <f t="shared" si="2"/>
        <v>#DIV/0!</v>
      </c>
      <c r="M27" s="39" t="e">
        <f t="shared" si="2"/>
        <v>#DIV/0!</v>
      </c>
    </row>
    <row r="28" spans="1:17" ht="15.75">
      <c r="A28" s="729"/>
      <c r="B28" s="728" t="e">
        <f t="shared" ref="B28:B92" si="3">1/0</f>
        <v>#DIV/0!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</row>
    <row r="29" spans="1:17">
      <c r="A29" s="726" t="s">
        <v>1374</v>
      </c>
      <c r="B29" s="728" t="e">
        <f t="shared" si="3"/>
        <v>#DIV/0!</v>
      </c>
      <c r="C29" s="39" t="e">
        <f t="shared" ref="C29:E54" si="4">1/0</f>
        <v>#DIV/0!</v>
      </c>
      <c r="D29" s="39" t="e">
        <f t="shared" si="4"/>
        <v>#DIV/0!</v>
      </c>
      <c r="E29" s="39" t="e">
        <f t="shared" si="4"/>
        <v>#DIV/0!</v>
      </c>
      <c r="F29" s="727">
        <v>1.7</v>
      </c>
      <c r="G29" s="39" t="e">
        <f t="shared" ref="G29:M39" si="5">1/0</f>
        <v>#DIV/0!</v>
      </c>
      <c r="H29" s="39" t="e">
        <f t="shared" si="5"/>
        <v>#DIV/0!</v>
      </c>
      <c r="I29" s="39" t="e">
        <f t="shared" si="5"/>
        <v>#DIV/0!</v>
      </c>
      <c r="J29" s="39" t="e">
        <f t="shared" si="5"/>
        <v>#DIV/0!</v>
      </c>
      <c r="K29" s="39" t="e">
        <f t="shared" si="5"/>
        <v>#DIV/0!</v>
      </c>
      <c r="L29" s="39" t="e">
        <f t="shared" si="5"/>
        <v>#DIV/0!</v>
      </c>
      <c r="M29" s="39" t="e">
        <f t="shared" si="5"/>
        <v>#DIV/0!</v>
      </c>
    </row>
    <row r="30" spans="1:17">
      <c r="A30" s="726" t="s">
        <v>1375</v>
      </c>
      <c r="B30" s="728" t="e">
        <f t="shared" si="3"/>
        <v>#DIV/0!</v>
      </c>
      <c r="C30" s="39" t="e">
        <f t="shared" si="4"/>
        <v>#DIV/0!</v>
      </c>
      <c r="D30" s="39" t="e">
        <f t="shared" si="4"/>
        <v>#DIV/0!</v>
      </c>
      <c r="E30" s="39" t="e">
        <f t="shared" si="4"/>
        <v>#DIV/0!</v>
      </c>
      <c r="F30" s="727">
        <v>1.7</v>
      </c>
      <c r="G30" s="39" t="e">
        <f t="shared" si="5"/>
        <v>#DIV/0!</v>
      </c>
      <c r="H30" s="39" t="e">
        <f t="shared" si="5"/>
        <v>#DIV/0!</v>
      </c>
      <c r="I30" s="39" t="e">
        <f t="shared" si="5"/>
        <v>#DIV/0!</v>
      </c>
      <c r="J30" s="39" t="e">
        <f t="shared" si="5"/>
        <v>#DIV/0!</v>
      </c>
      <c r="K30" s="39" t="e">
        <f t="shared" si="5"/>
        <v>#DIV/0!</v>
      </c>
      <c r="L30" s="39" t="e">
        <f t="shared" si="5"/>
        <v>#DIV/0!</v>
      </c>
      <c r="M30" s="39" t="e">
        <f t="shared" si="5"/>
        <v>#DIV/0!</v>
      </c>
    </row>
    <row r="31" spans="1:17">
      <c r="A31" s="726" t="s">
        <v>1376</v>
      </c>
      <c r="B31" s="728" t="e">
        <f t="shared" si="3"/>
        <v>#DIV/0!</v>
      </c>
      <c r="C31" s="39" t="e">
        <f t="shared" si="4"/>
        <v>#DIV/0!</v>
      </c>
      <c r="D31" s="39" t="e">
        <f t="shared" si="4"/>
        <v>#DIV/0!</v>
      </c>
      <c r="E31" s="39" t="e">
        <f t="shared" si="4"/>
        <v>#DIV/0!</v>
      </c>
      <c r="F31" s="727">
        <v>1.7</v>
      </c>
      <c r="G31" s="39" t="e">
        <f t="shared" si="5"/>
        <v>#DIV/0!</v>
      </c>
      <c r="H31" s="39" t="e">
        <f t="shared" si="5"/>
        <v>#DIV/0!</v>
      </c>
      <c r="I31" s="39" t="e">
        <f t="shared" si="5"/>
        <v>#DIV/0!</v>
      </c>
      <c r="J31" s="39" t="e">
        <f t="shared" si="5"/>
        <v>#DIV/0!</v>
      </c>
      <c r="K31" s="39" t="e">
        <f t="shared" si="5"/>
        <v>#DIV/0!</v>
      </c>
      <c r="L31" s="39" t="e">
        <f t="shared" si="5"/>
        <v>#DIV/0!</v>
      </c>
      <c r="M31" s="39" t="e">
        <f t="shared" si="5"/>
        <v>#DIV/0!</v>
      </c>
    </row>
    <row r="32" spans="1:17">
      <c r="A32" s="726" t="s">
        <v>1377</v>
      </c>
      <c r="B32" s="728" t="e">
        <f t="shared" si="3"/>
        <v>#DIV/0!</v>
      </c>
      <c r="C32" s="39" t="e">
        <f t="shared" si="4"/>
        <v>#DIV/0!</v>
      </c>
      <c r="D32" s="39" t="e">
        <f t="shared" si="4"/>
        <v>#DIV/0!</v>
      </c>
      <c r="E32" s="39" t="e">
        <f t="shared" si="4"/>
        <v>#DIV/0!</v>
      </c>
      <c r="F32" s="727">
        <v>1.7</v>
      </c>
      <c r="G32" s="39" t="e">
        <f t="shared" si="5"/>
        <v>#DIV/0!</v>
      </c>
      <c r="H32" s="39" t="e">
        <f t="shared" si="5"/>
        <v>#DIV/0!</v>
      </c>
      <c r="I32" s="39" t="e">
        <f t="shared" si="5"/>
        <v>#DIV/0!</v>
      </c>
      <c r="J32" s="39" t="e">
        <f t="shared" si="5"/>
        <v>#DIV/0!</v>
      </c>
      <c r="K32" s="39" t="e">
        <f t="shared" si="5"/>
        <v>#DIV/0!</v>
      </c>
      <c r="L32" s="39" t="e">
        <f t="shared" si="5"/>
        <v>#DIV/0!</v>
      </c>
      <c r="M32" s="39" t="e">
        <f t="shared" si="5"/>
        <v>#DIV/0!</v>
      </c>
    </row>
    <row r="33" spans="1:17">
      <c r="A33" s="726" t="s">
        <v>1378</v>
      </c>
      <c r="B33" s="728" t="e">
        <f t="shared" si="3"/>
        <v>#DIV/0!</v>
      </c>
      <c r="C33" s="39" t="e">
        <f t="shared" si="4"/>
        <v>#DIV/0!</v>
      </c>
      <c r="D33" s="39" t="e">
        <f t="shared" si="4"/>
        <v>#DIV/0!</v>
      </c>
      <c r="E33" s="39" t="e">
        <f t="shared" si="4"/>
        <v>#DIV/0!</v>
      </c>
      <c r="F33" s="727">
        <v>1.7</v>
      </c>
      <c r="G33" s="39" t="e">
        <f t="shared" si="5"/>
        <v>#DIV/0!</v>
      </c>
      <c r="H33" s="39" t="e">
        <f t="shared" si="5"/>
        <v>#DIV/0!</v>
      </c>
      <c r="I33" s="39" t="e">
        <f t="shared" si="5"/>
        <v>#DIV/0!</v>
      </c>
      <c r="J33" s="39" t="e">
        <f t="shared" si="5"/>
        <v>#DIV/0!</v>
      </c>
      <c r="K33" s="39" t="e">
        <f t="shared" si="5"/>
        <v>#DIV/0!</v>
      </c>
      <c r="L33" s="39" t="e">
        <f t="shared" si="5"/>
        <v>#DIV/0!</v>
      </c>
      <c r="M33" s="39" t="e">
        <f t="shared" si="5"/>
        <v>#DIV/0!</v>
      </c>
    </row>
    <row r="34" spans="1:17">
      <c r="A34" s="726" t="s">
        <v>1379</v>
      </c>
      <c r="B34" s="728" t="e">
        <f t="shared" si="3"/>
        <v>#DIV/0!</v>
      </c>
      <c r="C34" s="39" t="e">
        <f t="shared" si="4"/>
        <v>#DIV/0!</v>
      </c>
      <c r="D34" s="39" t="e">
        <f t="shared" si="4"/>
        <v>#DIV/0!</v>
      </c>
      <c r="E34" s="39" t="e">
        <f t="shared" si="4"/>
        <v>#DIV/0!</v>
      </c>
      <c r="F34" s="727">
        <v>1.7</v>
      </c>
      <c r="G34" s="39" t="e">
        <f t="shared" si="5"/>
        <v>#DIV/0!</v>
      </c>
      <c r="H34" s="39" t="e">
        <f t="shared" si="5"/>
        <v>#DIV/0!</v>
      </c>
      <c r="I34" s="39" t="e">
        <f t="shared" si="5"/>
        <v>#DIV/0!</v>
      </c>
      <c r="J34" s="39" t="e">
        <f t="shared" si="5"/>
        <v>#DIV/0!</v>
      </c>
      <c r="K34" s="39" t="e">
        <f t="shared" si="5"/>
        <v>#DIV/0!</v>
      </c>
      <c r="L34" s="39" t="e">
        <f t="shared" si="5"/>
        <v>#DIV/0!</v>
      </c>
      <c r="M34" s="39" t="e">
        <f t="shared" si="5"/>
        <v>#DIV/0!</v>
      </c>
    </row>
    <row r="35" spans="1:17">
      <c r="A35" s="726" t="s">
        <v>1380</v>
      </c>
      <c r="B35" s="728" t="e">
        <f t="shared" si="3"/>
        <v>#DIV/0!</v>
      </c>
      <c r="C35" s="39" t="e">
        <f t="shared" si="4"/>
        <v>#DIV/0!</v>
      </c>
      <c r="D35" s="39" t="e">
        <f t="shared" si="4"/>
        <v>#DIV/0!</v>
      </c>
      <c r="E35" s="39" t="e">
        <f t="shared" si="4"/>
        <v>#DIV/0!</v>
      </c>
      <c r="F35" s="727">
        <v>1.7</v>
      </c>
      <c r="G35" s="39" t="e">
        <f t="shared" si="5"/>
        <v>#DIV/0!</v>
      </c>
      <c r="H35" s="39" t="e">
        <f t="shared" si="5"/>
        <v>#DIV/0!</v>
      </c>
      <c r="I35" s="39" t="e">
        <f t="shared" si="5"/>
        <v>#DIV/0!</v>
      </c>
      <c r="J35" s="39" t="e">
        <f t="shared" si="5"/>
        <v>#DIV/0!</v>
      </c>
      <c r="K35" s="39" t="e">
        <f t="shared" si="5"/>
        <v>#DIV/0!</v>
      </c>
      <c r="L35" s="39" t="e">
        <f t="shared" si="5"/>
        <v>#DIV/0!</v>
      </c>
      <c r="M35" s="39" t="e">
        <f t="shared" si="5"/>
        <v>#DIV/0!</v>
      </c>
    </row>
    <row r="36" spans="1:17" s="39" customFormat="1">
      <c r="A36" s="754" t="s">
        <v>1448</v>
      </c>
      <c r="B36" s="728" t="e">
        <f t="shared" si="3"/>
        <v>#DIV/0!</v>
      </c>
      <c r="C36" s="39" t="e">
        <f t="shared" si="4"/>
        <v>#DIV/0!</v>
      </c>
      <c r="D36" s="39" t="e">
        <f t="shared" si="4"/>
        <v>#DIV/0!</v>
      </c>
      <c r="E36" s="39" t="e">
        <f t="shared" si="4"/>
        <v>#DIV/0!</v>
      </c>
      <c r="F36" s="727">
        <v>1.7</v>
      </c>
      <c r="G36" s="39" t="e">
        <f t="shared" si="5"/>
        <v>#DIV/0!</v>
      </c>
      <c r="H36" s="39" t="e">
        <f t="shared" si="5"/>
        <v>#DIV/0!</v>
      </c>
      <c r="I36" s="39" t="e">
        <f t="shared" si="5"/>
        <v>#DIV/0!</v>
      </c>
      <c r="J36" s="39" t="e">
        <f t="shared" si="5"/>
        <v>#DIV/0!</v>
      </c>
      <c r="K36" s="39" t="e">
        <f t="shared" si="5"/>
        <v>#DIV/0!</v>
      </c>
      <c r="L36" s="39" t="e">
        <f t="shared" si="5"/>
        <v>#DIV/0!</v>
      </c>
      <c r="M36" s="39" t="e">
        <f t="shared" si="5"/>
        <v>#DIV/0!</v>
      </c>
    </row>
    <row r="37" spans="1:17">
      <c r="A37" s="726" t="s">
        <v>1381</v>
      </c>
      <c r="B37" s="728" t="e">
        <f t="shared" si="3"/>
        <v>#DIV/0!</v>
      </c>
      <c r="C37" s="39" t="e">
        <f t="shared" si="4"/>
        <v>#DIV/0!</v>
      </c>
      <c r="D37" s="39" t="e">
        <f t="shared" si="4"/>
        <v>#DIV/0!</v>
      </c>
      <c r="E37" s="39" t="e">
        <f t="shared" si="4"/>
        <v>#DIV/0!</v>
      </c>
      <c r="F37" s="727">
        <v>1.7</v>
      </c>
      <c r="G37" s="39" t="e">
        <f t="shared" si="5"/>
        <v>#DIV/0!</v>
      </c>
      <c r="H37" s="39" t="e">
        <f t="shared" si="5"/>
        <v>#DIV/0!</v>
      </c>
      <c r="I37" s="39" t="e">
        <f t="shared" si="5"/>
        <v>#DIV/0!</v>
      </c>
      <c r="J37" s="39" t="e">
        <f t="shared" si="5"/>
        <v>#DIV/0!</v>
      </c>
      <c r="K37" s="39" t="e">
        <f t="shared" si="5"/>
        <v>#DIV/0!</v>
      </c>
      <c r="L37" s="39" t="e">
        <f t="shared" si="5"/>
        <v>#DIV/0!</v>
      </c>
      <c r="M37" s="39" t="e">
        <f t="shared" si="5"/>
        <v>#DIV/0!</v>
      </c>
    </row>
    <row r="38" spans="1:17">
      <c r="A38" s="726" t="s">
        <v>1382</v>
      </c>
      <c r="B38" s="728" t="e">
        <f t="shared" si="3"/>
        <v>#DIV/0!</v>
      </c>
      <c r="C38" s="39" t="e">
        <f t="shared" si="4"/>
        <v>#DIV/0!</v>
      </c>
      <c r="D38" s="39" t="e">
        <f t="shared" si="4"/>
        <v>#DIV/0!</v>
      </c>
      <c r="E38" s="39" t="e">
        <f t="shared" si="4"/>
        <v>#DIV/0!</v>
      </c>
      <c r="F38" s="727">
        <v>1.7</v>
      </c>
      <c r="G38" s="39" t="e">
        <f t="shared" si="5"/>
        <v>#DIV/0!</v>
      </c>
      <c r="H38" s="39" t="e">
        <f t="shared" si="5"/>
        <v>#DIV/0!</v>
      </c>
      <c r="I38" s="39" t="e">
        <f t="shared" si="5"/>
        <v>#DIV/0!</v>
      </c>
      <c r="J38" s="39" t="e">
        <f t="shared" si="5"/>
        <v>#DIV/0!</v>
      </c>
      <c r="K38" s="39" t="e">
        <f t="shared" si="5"/>
        <v>#DIV/0!</v>
      </c>
      <c r="L38" s="39" t="e">
        <f t="shared" si="5"/>
        <v>#DIV/0!</v>
      </c>
      <c r="M38" s="39" t="e">
        <f t="shared" si="5"/>
        <v>#DIV/0!</v>
      </c>
    </row>
    <row r="39" spans="1:17">
      <c r="A39" s="726" t="s">
        <v>1383</v>
      </c>
      <c r="B39" s="728" t="e">
        <f t="shared" si="3"/>
        <v>#DIV/0!</v>
      </c>
      <c r="C39" s="39" t="e">
        <f t="shared" si="4"/>
        <v>#DIV/0!</v>
      </c>
      <c r="D39" s="39" t="e">
        <f t="shared" si="4"/>
        <v>#DIV/0!</v>
      </c>
      <c r="E39" s="39" t="e">
        <f t="shared" si="4"/>
        <v>#DIV/0!</v>
      </c>
      <c r="F39" s="727">
        <v>1.7</v>
      </c>
      <c r="G39" s="39" t="e">
        <f t="shared" si="5"/>
        <v>#DIV/0!</v>
      </c>
      <c r="H39" s="39" t="e">
        <f t="shared" si="5"/>
        <v>#DIV/0!</v>
      </c>
      <c r="I39" s="39" t="e">
        <f t="shared" si="5"/>
        <v>#DIV/0!</v>
      </c>
      <c r="J39" s="39" t="e">
        <f t="shared" si="5"/>
        <v>#DIV/0!</v>
      </c>
      <c r="K39" s="39" t="e">
        <f t="shared" si="5"/>
        <v>#DIV/0!</v>
      </c>
      <c r="L39" s="39" t="e">
        <f t="shared" si="5"/>
        <v>#DIV/0!</v>
      </c>
      <c r="M39" s="39" t="e">
        <f t="shared" si="5"/>
        <v>#DIV/0!</v>
      </c>
    </row>
    <row r="40" spans="1:17">
      <c r="A40" s="726" t="s">
        <v>1384</v>
      </c>
      <c r="B40" s="728" t="e">
        <f t="shared" si="3"/>
        <v>#DIV/0!</v>
      </c>
      <c r="C40" s="39" t="e">
        <f t="shared" si="4"/>
        <v>#DIV/0!</v>
      </c>
      <c r="D40" s="39" t="e">
        <f t="shared" si="4"/>
        <v>#DIV/0!</v>
      </c>
      <c r="E40" s="39" t="e">
        <f t="shared" si="4"/>
        <v>#DIV/0!</v>
      </c>
      <c r="F40" s="727">
        <v>1.7</v>
      </c>
      <c r="G40" s="39" t="e">
        <f t="shared" ref="G40:M54" si="6">1/0</f>
        <v>#DIV/0!</v>
      </c>
      <c r="H40" s="39" t="e">
        <f t="shared" si="6"/>
        <v>#DIV/0!</v>
      </c>
      <c r="I40" s="39" t="e">
        <f t="shared" si="6"/>
        <v>#DIV/0!</v>
      </c>
      <c r="J40" s="39" t="e">
        <f t="shared" si="6"/>
        <v>#DIV/0!</v>
      </c>
      <c r="K40" s="39" t="e">
        <f t="shared" si="6"/>
        <v>#DIV/0!</v>
      </c>
      <c r="L40" s="39" t="e">
        <f t="shared" si="6"/>
        <v>#DIV/0!</v>
      </c>
      <c r="M40" s="39" t="e">
        <f t="shared" si="6"/>
        <v>#DIV/0!</v>
      </c>
    </row>
    <row r="41" spans="1:17">
      <c r="A41" s="726" t="s">
        <v>1385</v>
      </c>
      <c r="B41" s="728" t="e">
        <f t="shared" si="3"/>
        <v>#DIV/0!</v>
      </c>
      <c r="C41" s="39" t="e">
        <f t="shared" si="4"/>
        <v>#DIV/0!</v>
      </c>
      <c r="D41" s="39" t="e">
        <f t="shared" si="4"/>
        <v>#DIV/0!</v>
      </c>
      <c r="E41" s="39" t="e">
        <f t="shared" si="4"/>
        <v>#DIV/0!</v>
      </c>
      <c r="F41" s="727">
        <v>1.7</v>
      </c>
      <c r="G41" s="39" t="e">
        <f t="shared" si="6"/>
        <v>#DIV/0!</v>
      </c>
      <c r="H41" s="39" t="e">
        <f t="shared" si="6"/>
        <v>#DIV/0!</v>
      </c>
      <c r="I41" s="39" t="e">
        <f t="shared" si="6"/>
        <v>#DIV/0!</v>
      </c>
      <c r="J41" s="39" t="e">
        <f t="shared" si="6"/>
        <v>#DIV/0!</v>
      </c>
      <c r="K41" s="39" t="e">
        <f t="shared" si="6"/>
        <v>#DIV/0!</v>
      </c>
      <c r="L41" s="39" t="e">
        <f t="shared" si="6"/>
        <v>#DIV/0!</v>
      </c>
      <c r="M41" s="39" t="e">
        <f t="shared" si="6"/>
        <v>#DIV/0!</v>
      </c>
    </row>
    <row r="42" spans="1:17">
      <c r="A42" s="726" t="s">
        <v>1386</v>
      </c>
      <c r="B42" s="728" t="e">
        <f t="shared" si="3"/>
        <v>#DIV/0!</v>
      </c>
      <c r="C42" s="39" t="e">
        <f t="shared" si="4"/>
        <v>#DIV/0!</v>
      </c>
      <c r="D42" s="39" t="e">
        <f t="shared" si="4"/>
        <v>#DIV/0!</v>
      </c>
      <c r="E42" s="39" t="e">
        <f t="shared" si="4"/>
        <v>#DIV/0!</v>
      </c>
      <c r="F42" s="727">
        <v>1.7</v>
      </c>
      <c r="G42" s="39" t="e">
        <f t="shared" si="6"/>
        <v>#DIV/0!</v>
      </c>
      <c r="H42" s="39" t="e">
        <f t="shared" si="6"/>
        <v>#DIV/0!</v>
      </c>
      <c r="I42" s="39" t="e">
        <f t="shared" si="6"/>
        <v>#DIV/0!</v>
      </c>
      <c r="J42" s="39" t="e">
        <f t="shared" si="6"/>
        <v>#DIV/0!</v>
      </c>
      <c r="K42" s="39" t="e">
        <f t="shared" si="6"/>
        <v>#DIV/0!</v>
      </c>
      <c r="L42" s="39" t="e">
        <f t="shared" si="6"/>
        <v>#DIV/0!</v>
      </c>
      <c r="M42" s="39" t="e">
        <f t="shared" si="6"/>
        <v>#DIV/0!</v>
      </c>
    </row>
    <row r="43" spans="1:17">
      <c r="A43" s="726" t="s">
        <v>1387</v>
      </c>
      <c r="B43" s="728" t="e">
        <f t="shared" si="3"/>
        <v>#DIV/0!</v>
      </c>
      <c r="C43" s="39" t="e">
        <f t="shared" si="4"/>
        <v>#DIV/0!</v>
      </c>
      <c r="D43" s="39" t="e">
        <f t="shared" si="4"/>
        <v>#DIV/0!</v>
      </c>
      <c r="E43" s="39" t="e">
        <f t="shared" si="4"/>
        <v>#DIV/0!</v>
      </c>
      <c r="F43" s="727">
        <v>1.7</v>
      </c>
      <c r="G43" s="39" t="e">
        <f t="shared" si="6"/>
        <v>#DIV/0!</v>
      </c>
      <c r="H43" s="39" t="e">
        <f t="shared" si="6"/>
        <v>#DIV/0!</v>
      </c>
      <c r="I43" s="39" t="e">
        <f t="shared" si="6"/>
        <v>#DIV/0!</v>
      </c>
      <c r="J43" s="39" t="e">
        <f t="shared" si="6"/>
        <v>#DIV/0!</v>
      </c>
      <c r="K43" s="39" t="e">
        <f t="shared" si="6"/>
        <v>#DIV/0!</v>
      </c>
      <c r="L43" s="39" t="e">
        <f t="shared" si="6"/>
        <v>#DIV/0!</v>
      </c>
      <c r="M43" s="39" t="e">
        <f t="shared" si="6"/>
        <v>#DIV/0!</v>
      </c>
      <c r="N43" s="39"/>
      <c r="O43" s="39"/>
      <c r="P43" s="39"/>
      <c r="Q43" s="39"/>
    </row>
    <row r="44" spans="1:17">
      <c r="A44" s="726" t="s">
        <v>1388</v>
      </c>
      <c r="B44" s="728" t="e">
        <f t="shared" si="3"/>
        <v>#DIV/0!</v>
      </c>
      <c r="C44" s="39" t="e">
        <f t="shared" si="4"/>
        <v>#DIV/0!</v>
      </c>
      <c r="D44" s="39" t="e">
        <f t="shared" si="4"/>
        <v>#DIV/0!</v>
      </c>
      <c r="E44" s="39" t="e">
        <f t="shared" si="4"/>
        <v>#DIV/0!</v>
      </c>
      <c r="F44" s="727">
        <v>1.7</v>
      </c>
      <c r="G44" s="39" t="e">
        <f t="shared" si="6"/>
        <v>#DIV/0!</v>
      </c>
      <c r="H44" s="39" t="e">
        <f t="shared" si="6"/>
        <v>#DIV/0!</v>
      </c>
      <c r="I44" s="39" t="e">
        <f t="shared" si="6"/>
        <v>#DIV/0!</v>
      </c>
      <c r="J44" s="39" t="e">
        <f t="shared" si="6"/>
        <v>#DIV/0!</v>
      </c>
      <c r="K44" s="39" t="e">
        <f t="shared" si="6"/>
        <v>#DIV/0!</v>
      </c>
      <c r="L44" s="39" t="e">
        <f t="shared" si="6"/>
        <v>#DIV/0!</v>
      </c>
      <c r="M44" s="39" t="e">
        <f t="shared" si="6"/>
        <v>#DIV/0!</v>
      </c>
      <c r="N44" s="39"/>
      <c r="O44" s="39"/>
      <c r="P44" s="39"/>
      <c r="Q44" s="39"/>
    </row>
    <row r="45" spans="1:17">
      <c r="A45" s="726" t="s">
        <v>1389</v>
      </c>
      <c r="B45" s="728" t="e">
        <f t="shared" si="3"/>
        <v>#DIV/0!</v>
      </c>
      <c r="C45" s="39" t="e">
        <f t="shared" si="4"/>
        <v>#DIV/0!</v>
      </c>
      <c r="D45" s="39" t="e">
        <f t="shared" si="4"/>
        <v>#DIV/0!</v>
      </c>
      <c r="E45" s="39" t="e">
        <f t="shared" si="4"/>
        <v>#DIV/0!</v>
      </c>
      <c r="F45" s="727">
        <v>1.7</v>
      </c>
      <c r="G45" s="39" t="e">
        <f t="shared" si="6"/>
        <v>#DIV/0!</v>
      </c>
      <c r="H45" s="39" t="e">
        <f t="shared" si="6"/>
        <v>#DIV/0!</v>
      </c>
      <c r="I45" s="39" t="e">
        <f t="shared" si="6"/>
        <v>#DIV/0!</v>
      </c>
      <c r="J45" s="39" t="e">
        <f t="shared" si="6"/>
        <v>#DIV/0!</v>
      </c>
      <c r="K45" s="39" t="e">
        <f t="shared" si="6"/>
        <v>#DIV/0!</v>
      </c>
      <c r="L45" s="39" t="e">
        <f t="shared" si="6"/>
        <v>#DIV/0!</v>
      </c>
      <c r="M45" s="39" t="e">
        <f t="shared" si="6"/>
        <v>#DIV/0!</v>
      </c>
      <c r="N45" s="39"/>
      <c r="O45" s="39"/>
      <c r="P45" s="39"/>
      <c r="Q45" s="39"/>
    </row>
    <row r="46" spans="1:17">
      <c r="A46" s="726" t="s">
        <v>1390</v>
      </c>
      <c r="B46" s="728" t="e">
        <f t="shared" si="3"/>
        <v>#DIV/0!</v>
      </c>
      <c r="C46" s="39" t="e">
        <f t="shared" si="4"/>
        <v>#DIV/0!</v>
      </c>
      <c r="D46" s="39" t="e">
        <f t="shared" si="4"/>
        <v>#DIV/0!</v>
      </c>
      <c r="E46" s="39" t="e">
        <f t="shared" si="4"/>
        <v>#DIV/0!</v>
      </c>
      <c r="F46" s="727">
        <v>1.7</v>
      </c>
      <c r="G46" s="39" t="e">
        <f t="shared" si="6"/>
        <v>#DIV/0!</v>
      </c>
      <c r="H46" s="39" t="e">
        <f t="shared" si="6"/>
        <v>#DIV/0!</v>
      </c>
      <c r="I46" s="39" t="e">
        <f t="shared" si="6"/>
        <v>#DIV/0!</v>
      </c>
      <c r="J46" s="39" t="e">
        <f t="shared" si="6"/>
        <v>#DIV/0!</v>
      </c>
      <c r="K46" s="39" t="e">
        <f t="shared" si="6"/>
        <v>#DIV/0!</v>
      </c>
      <c r="L46" s="39" t="e">
        <f t="shared" si="6"/>
        <v>#DIV/0!</v>
      </c>
      <c r="M46" s="39" t="e">
        <f t="shared" si="6"/>
        <v>#DIV/0!</v>
      </c>
    </row>
    <row r="47" spans="1:17">
      <c r="A47" s="726" t="s">
        <v>1391</v>
      </c>
      <c r="B47" s="728" t="e">
        <f t="shared" si="3"/>
        <v>#DIV/0!</v>
      </c>
      <c r="C47" s="39" t="e">
        <f t="shared" si="4"/>
        <v>#DIV/0!</v>
      </c>
      <c r="D47" s="39" t="e">
        <f t="shared" si="4"/>
        <v>#DIV/0!</v>
      </c>
      <c r="E47" s="39" t="e">
        <f t="shared" si="4"/>
        <v>#DIV/0!</v>
      </c>
      <c r="F47" s="727">
        <v>1.7</v>
      </c>
      <c r="G47" s="39" t="e">
        <f t="shared" si="6"/>
        <v>#DIV/0!</v>
      </c>
      <c r="H47" s="39" t="e">
        <f t="shared" si="6"/>
        <v>#DIV/0!</v>
      </c>
      <c r="I47" s="39" t="e">
        <f t="shared" si="6"/>
        <v>#DIV/0!</v>
      </c>
      <c r="J47" s="39" t="e">
        <f t="shared" si="6"/>
        <v>#DIV/0!</v>
      </c>
      <c r="K47" s="39" t="e">
        <f t="shared" si="6"/>
        <v>#DIV/0!</v>
      </c>
      <c r="L47" s="39" t="e">
        <f t="shared" si="6"/>
        <v>#DIV/0!</v>
      </c>
      <c r="M47" s="39" t="e">
        <f t="shared" si="6"/>
        <v>#DIV/0!</v>
      </c>
    </row>
    <row r="48" spans="1:17">
      <c r="A48" s="726" t="s">
        <v>1392</v>
      </c>
      <c r="B48" s="728" t="e">
        <f t="shared" si="3"/>
        <v>#DIV/0!</v>
      </c>
      <c r="C48" s="39" t="e">
        <f t="shared" si="4"/>
        <v>#DIV/0!</v>
      </c>
      <c r="D48" s="39" t="e">
        <f t="shared" si="4"/>
        <v>#DIV/0!</v>
      </c>
      <c r="E48" s="39" t="e">
        <f t="shared" si="4"/>
        <v>#DIV/0!</v>
      </c>
      <c r="F48" s="727">
        <v>1.7</v>
      </c>
      <c r="G48" s="39" t="e">
        <f t="shared" si="6"/>
        <v>#DIV/0!</v>
      </c>
      <c r="H48" s="39" t="e">
        <f t="shared" si="6"/>
        <v>#DIV/0!</v>
      </c>
      <c r="I48" s="39" t="e">
        <f t="shared" si="6"/>
        <v>#DIV/0!</v>
      </c>
      <c r="J48" s="39" t="e">
        <f t="shared" si="6"/>
        <v>#DIV/0!</v>
      </c>
      <c r="K48" s="39" t="e">
        <f t="shared" si="6"/>
        <v>#DIV/0!</v>
      </c>
      <c r="L48" s="39" t="e">
        <f t="shared" si="6"/>
        <v>#DIV/0!</v>
      </c>
      <c r="M48" s="39" t="e">
        <f t="shared" si="6"/>
        <v>#DIV/0!</v>
      </c>
    </row>
    <row r="49" spans="1:14">
      <c r="A49" s="726" t="s">
        <v>1393</v>
      </c>
      <c r="B49" s="728" t="e">
        <f t="shared" si="3"/>
        <v>#DIV/0!</v>
      </c>
      <c r="C49" s="39" t="e">
        <f t="shared" si="4"/>
        <v>#DIV/0!</v>
      </c>
      <c r="D49" s="39" t="e">
        <f t="shared" si="4"/>
        <v>#DIV/0!</v>
      </c>
      <c r="E49" s="39" t="e">
        <f t="shared" si="4"/>
        <v>#DIV/0!</v>
      </c>
      <c r="F49" s="727">
        <v>1.7</v>
      </c>
      <c r="G49" s="39" t="e">
        <f t="shared" si="6"/>
        <v>#DIV/0!</v>
      </c>
      <c r="H49" s="39" t="e">
        <f t="shared" si="6"/>
        <v>#DIV/0!</v>
      </c>
      <c r="I49" s="39" t="e">
        <f t="shared" si="6"/>
        <v>#DIV/0!</v>
      </c>
      <c r="J49" s="39" t="e">
        <f t="shared" si="6"/>
        <v>#DIV/0!</v>
      </c>
      <c r="K49" s="39" t="e">
        <f t="shared" si="6"/>
        <v>#DIV/0!</v>
      </c>
      <c r="L49" s="39" t="e">
        <f t="shared" si="6"/>
        <v>#DIV/0!</v>
      </c>
      <c r="M49" s="39" t="e">
        <f t="shared" si="6"/>
        <v>#DIV/0!</v>
      </c>
    </row>
    <row r="50" spans="1:14">
      <c r="A50" s="726" t="s">
        <v>1394</v>
      </c>
      <c r="B50" s="728" t="e">
        <f t="shared" si="3"/>
        <v>#DIV/0!</v>
      </c>
      <c r="C50" s="39" t="e">
        <f t="shared" si="4"/>
        <v>#DIV/0!</v>
      </c>
      <c r="D50" s="39" t="e">
        <f t="shared" si="4"/>
        <v>#DIV/0!</v>
      </c>
      <c r="E50" s="39" t="e">
        <f t="shared" si="4"/>
        <v>#DIV/0!</v>
      </c>
      <c r="F50" s="727">
        <v>1.7</v>
      </c>
      <c r="G50" s="39" t="e">
        <f t="shared" si="6"/>
        <v>#DIV/0!</v>
      </c>
      <c r="H50" s="39" t="e">
        <f t="shared" si="6"/>
        <v>#DIV/0!</v>
      </c>
      <c r="I50" s="39" t="e">
        <f t="shared" si="6"/>
        <v>#DIV/0!</v>
      </c>
      <c r="J50" s="39" t="e">
        <f t="shared" si="6"/>
        <v>#DIV/0!</v>
      </c>
      <c r="K50" s="39" t="e">
        <f t="shared" si="6"/>
        <v>#DIV/0!</v>
      </c>
      <c r="L50" s="39" t="e">
        <f t="shared" si="6"/>
        <v>#DIV/0!</v>
      </c>
      <c r="M50" s="39" t="e">
        <f t="shared" si="6"/>
        <v>#DIV/0!</v>
      </c>
    </row>
    <row r="51" spans="1:14" s="39" customFormat="1">
      <c r="A51" s="791" t="s">
        <v>1600</v>
      </c>
      <c r="B51" s="728" t="e">
        <f t="shared" si="3"/>
        <v>#DIV/0!</v>
      </c>
      <c r="C51" s="39" t="e">
        <f t="shared" si="4"/>
        <v>#DIV/0!</v>
      </c>
      <c r="D51" s="39" t="e">
        <f t="shared" si="4"/>
        <v>#DIV/0!</v>
      </c>
      <c r="E51" s="39" t="e">
        <f t="shared" si="4"/>
        <v>#DIV/0!</v>
      </c>
      <c r="F51" s="727">
        <v>1.7</v>
      </c>
      <c r="G51" s="39" t="e">
        <f t="shared" si="6"/>
        <v>#DIV/0!</v>
      </c>
      <c r="H51" s="39" t="e">
        <f t="shared" si="6"/>
        <v>#DIV/0!</v>
      </c>
      <c r="I51" s="39" t="e">
        <f t="shared" si="6"/>
        <v>#DIV/0!</v>
      </c>
      <c r="J51" s="39" t="e">
        <f t="shared" si="6"/>
        <v>#DIV/0!</v>
      </c>
      <c r="K51" s="39" t="e">
        <f t="shared" si="6"/>
        <v>#DIV/0!</v>
      </c>
      <c r="L51" s="39" t="e">
        <f t="shared" si="6"/>
        <v>#DIV/0!</v>
      </c>
      <c r="M51" s="39" t="e">
        <f t="shared" si="6"/>
        <v>#DIV/0!</v>
      </c>
    </row>
    <row r="52" spans="1:14">
      <c r="A52" s="726" t="s">
        <v>1396</v>
      </c>
      <c r="B52" s="728" t="e">
        <f t="shared" si="3"/>
        <v>#DIV/0!</v>
      </c>
      <c r="C52" s="39" t="e">
        <f t="shared" si="4"/>
        <v>#DIV/0!</v>
      </c>
      <c r="D52" s="39" t="e">
        <f t="shared" si="4"/>
        <v>#DIV/0!</v>
      </c>
      <c r="E52" s="39" t="e">
        <f t="shared" si="4"/>
        <v>#DIV/0!</v>
      </c>
      <c r="F52" s="727">
        <v>1.7</v>
      </c>
      <c r="G52" s="39" t="e">
        <f t="shared" si="6"/>
        <v>#DIV/0!</v>
      </c>
      <c r="H52" s="39" t="e">
        <f t="shared" si="6"/>
        <v>#DIV/0!</v>
      </c>
      <c r="I52" s="39" t="e">
        <f t="shared" si="6"/>
        <v>#DIV/0!</v>
      </c>
      <c r="J52" s="39" t="e">
        <f t="shared" si="6"/>
        <v>#DIV/0!</v>
      </c>
      <c r="K52" s="39" t="e">
        <f t="shared" si="6"/>
        <v>#DIV/0!</v>
      </c>
      <c r="L52" s="39" t="e">
        <f t="shared" si="6"/>
        <v>#DIV/0!</v>
      </c>
      <c r="M52" s="39" t="e">
        <f t="shared" si="6"/>
        <v>#DIV/0!</v>
      </c>
    </row>
    <row r="53" spans="1:14">
      <c r="A53" s="726" t="s">
        <v>1395</v>
      </c>
      <c r="B53" s="728" t="e">
        <f t="shared" si="3"/>
        <v>#DIV/0!</v>
      </c>
      <c r="C53" s="39" t="e">
        <f t="shared" si="4"/>
        <v>#DIV/0!</v>
      </c>
      <c r="D53" s="39" t="e">
        <f t="shared" si="4"/>
        <v>#DIV/0!</v>
      </c>
      <c r="E53" s="39" t="e">
        <f t="shared" si="4"/>
        <v>#DIV/0!</v>
      </c>
      <c r="F53" s="727">
        <v>1.7</v>
      </c>
      <c r="G53" s="39" t="e">
        <f t="shared" si="6"/>
        <v>#DIV/0!</v>
      </c>
      <c r="H53" s="39" t="e">
        <f t="shared" si="6"/>
        <v>#DIV/0!</v>
      </c>
      <c r="I53" s="39" t="e">
        <f t="shared" si="6"/>
        <v>#DIV/0!</v>
      </c>
      <c r="J53" s="39" t="e">
        <f t="shared" si="6"/>
        <v>#DIV/0!</v>
      </c>
      <c r="K53" s="39" t="e">
        <f t="shared" si="6"/>
        <v>#DIV/0!</v>
      </c>
      <c r="L53" s="39" t="e">
        <f t="shared" si="6"/>
        <v>#DIV/0!</v>
      </c>
      <c r="M53" s="39" t="e">
        <f t="shared" si="6"/>
        <v>#DIV/0!</v>
      </c>
    </row>
    <row r="54" spans="1:14">
      <c r="A54" s="726" t="s">
        <v>1397</v>
      </c>
      <c r="B54" s="728" t="e">
        <f t="shared" si="3"/>
        <v>#DIV/0!</v>
      </c>
      <c r="C54" s="39" t="e">
        <f t="shared" si="4"/>
        <v>#DIV/0!</v>
      </c>
      <c r="D54" s="39" t="e">
        <f t="shared" si="4"/>
        <v>#DIV/0!</v>
      </c>
      <c r="E54" s="39" t="e">
        <f t="shared" si="4"/>
        <v>#DIV/0!</v>
      </c>
      <c r="F54" s="727">
        <v>1.7</v>
      </c>
      <c r="G54" s="39" t="e">
        <f t="shared" si="6"/>
        <v>#DIV/0!</v>
      </c>
      <c r="H54" s="39" t="e">
        <f t="shared" si="6"/>
        <v>#DIV/0!</v>
      </c>
      <c r="I54" s="39" t="e">
        <f t="shared" si="6"/>
        <v>#DIV/0!</v>
      </c>
      <c r="J54" s="39" t="e">
        <f t="shared" si="6"/>
        <v>#DIV/0!</v>
      </c>
      <c r="K54" s="39" t="e">
        <f t="shared" si="6"/>
        <v>#DIV/0!</v>
      </c>
      <c r="L54" s="39" t="e">
        <f t="shared" si="6"/>
        <v>#DIV/0!</v>
      </c>
      <c r="M54" s="39" t="e">
        <f t="shared" si="6"/>
        <v>#DIV/0!</v>
      </c>
    </row>
    <row r="55" spans="1:14" ht="15.75">
      <c r="A55" s="729"/>
      <c r="B55" s="728" t="e">
        <f t="shared" si="3"/>
        <v>#DIV/0!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</row>
    <row r="56" spans="1:14">
      <c r="A56" s="726" t="s">
        <v>1398</v>
      </c>
      <c r="B56" s="728" t="e">
        <f t="shared" si="3"/>
        <v>#DIV/0!</v>
      </c>
      <c r="C56" s="39" t="e">
        <f t="shared" ref="C56:F67" si="7">1/0</f>
        <v>#DIV/0!</v>
      </c>
      <c r="D56" s="39" t="e">
        <f t="shared" si="7"/>
        <v>#DIV/0!</v>
      </c>
      <c r="E56" s="39" t="e">
        <f t="shared" si="7"/>
        <v>#DIV/0!</v>
      </c>
      <c r="F56" s="39" t="e">
        <f t="shared" si="7"/>
        <v>#DIV/0!</v>
      </c>
      <c r="G56" s="730">
        <v>2</v>
      </c>
      <c r="H56" s="39" t="e">
        <f t="shared" ref="H56:M67" si="8">1/0</f>
        <v>#DIV/0!</v>
      </c>
      <c r="I56" s="39" t="e">
        <f t="shared" si="8"/>
        <v>#DIV/0!</v>
      </c>
      <c r="J56" s="39" t="e">
        <f t="shared" si="8"/>
        <v>#DIV/0!</v>
      </c>
      <c r="K56" s="39" t="e">
        <f t="shared" si="8"/>
        <v>#DIV/0!</v>
      </c>
      <c r="L56" s="39" t="e">
        <f t="shared" si="8"/>
        <v>#DIV/0!</v>
      </c>
      <c r="M56" s="39" t="e">
        <f t="shared" si="8"/>
        <v>#DIV/0!</v>
      </c>
    </row>
    <row r="57" spans="1:14">
      <c r="A57" s="726" t="s">
        <v>1399</v>
      </c>
      <c r="B57" s="728" t="e">
        <f t="shared" si="3"/>
        <v>#DIV/0!</v>
      </c>
      <c r="C57" s="39" t="e">
        <f t="shared" si="7"/>
        <v>#DIV/0!</v>
      </c>
      <c r="D57" s="39" t="e">
        <f t="shared" si="7"/>
        <v>#DIV/0!</v>
      </c>
      <c r="E57" s="39" t="e">
        <f t="shared" si="7"/>
        <v>#DIV/0!</v>
      </c>
      <c r="F57" s="39" t="e">
        <f t="shared" si="7"/>
        <v>#DIV/0!</v>
      </c>
      <c r="G57" s="730">
        <v>2</v>
      </c>
      <c r="H57" s="39" t="e">
        <f t="shared" si="8"/>
        <v>#DIV/0!</v>
      </c>
      <c r="I57" s="39" t="e">
        <f t="shared" si="8"/>
        <v>#DIV/0!</v>
      </c>
      <c r="J57" s="39" t="e">
        <f t="shared" si="8"/>
        <v>#DIV/0!</v>
      </c>
      <c r="K57" s="39" t="e">
        <f t="shared" si="8"/>
        <v>#DIV/0!</v>
      </c>
      <c r="L57" s="39" t="e">
        <f t="shared" si="8"/>
        <v>#DIV/0!</v>
      </c>
      <c r="M57" s="39" t="e">
        <f t="shared" si="8"/>
        <v>#DIV/0!</v>
      </c>
    </row>
    <row r="58" spans="1:14">
      <c r="A58" s="726" t="s">
        <v>1400</v>
      </c>
      <c r="B58" s="728" t="e">
        <f t="shared" si="3"/>
        <v>#DIV/0!</v>
      </c>
      <c r="C58" s="39" t="e">
        <f t="shared" si="7"/>
        <v>#DIV/0!</v>
      </c>
      <c r="D58" s="39" t="e">
        <f t="shared" si="7"/>
        <v>#DIV/0!</v>
      </c>
      <c r="E58" s="39" t="e">
        <f t="shared" si="7"/>
        <v>#DIV/0!</v>
      </c>
      <c r="F58" s="39" t="e">
        <f t="shared" si="7"/>
        <v>#DIV/0!</v>
      </c>
      <c r="G58" s="730">
        <v>2</v>
      </c>
      <c r="H58" s="39" t="e">
        <f t="shared" si="8"/>
        <v>#DIV/0!</v>
      </c>
      <c r="I58" s="39" t="e">
        <f t="shared" si="8"/>
        <v>#DIV/0!</v>
      </c>
      <c r="J58" s="39" t="e">
        <f t="shared" si="8"/>
        <v>#DIV/0!</v>
      </c>
      <c r="K58" s="39" t="e">
        <f t="shared" si="8"/>
        <v>#DIV/0!</v>
      </c>
      <c r="L58" s="39" t="e">
        <f t="shared" si="8"/>
        <v>#DIV/0!</v>
      </c>
      <c r="M58" s="39" t="e">
        <f t="shared" si="8"/>
        <v>#DIV/0!</v>
      </c>
    </row>
    <row r="59" spans="1:14">
      <c r="A59" s="726" t="s">
        <v>1401</v>
      </c>
      <c r="B59" s="728" t="e">
        <f t="shared" si="3"/>
        <v>#DIV/0!</v>
      </c>
      <c r="C59" s="39" t="e">
        <f t="shared" si="7"/>
        <v>#DIV/0!</v>
      </c>
      <c r="D59" s="39" t="e">
        <f t="shared" si="7"/>
        <v>#DIV/0!</v>
      </c>
      <c r="E59" s="39" t="e">
        <f t="shared" si="7"/>
        <v>#DIV/0!</v>
      </c>
      <c r="F59" s="39" t="e">
        <f t="shared" si="7"/>
        <v>#DIV/0!</v>
      </c>
      <c r="G59" s="727">
        <v>1.79</v>
      </c>
      <c r="H59" s="39" t="e">
        <f t="shared" si="8"/>
        <v>#DIV/0!</v>
      </c>
      <c r="I59" s="39" t="e">
        <f t="shared" si="8"/>
        <v>#DIV/0!</v>
      </c>
      <c r="J59" s="39" t="e">
        <f t="shared" si="8"/>
        <v>#DIV/0!</v>
      </c>
      <c r="K59" s="39" t="e">
        <f t="shared" si="8"/>
        <v>#DIV/0!</v>
      </c>
      <c r="L59" s="39" t="e">
        <f t="shared" si="8"/>
        <v>#DIV/0!</v>
      </c>
      <c r="M59" s="39" t="e">
        <f t="shared" si="8"/>
        <v>#DIV/0!</v>
      </c>
    </row>
    <row r="60" spans="1:14">
      <c r="A60" s="726" t="s">
        <v>1402</v>
      </c>
      <c r="B60" s="728" t="e">
        <f t="shared" si="3"/>
        <v>#DIV/0!</v>
      </c>
      <c r="C60" s="39" t="e">
        <f t="shared" si="7"/>
        <v>#DIV/0!</v>
      </c>
      <c r="D60" s="39" t="e">
        <f t="shared" si="7"/>
        <v>#DIV/0!</v>
      </c>
      <c r="E60" s="39" t="e">
        <f t="shared" si="7"/>
        <v>#DIV/0!</v>
      </c>
      <c r="F60" s="39" t="e">
        <f t="shared" si="7"/>
        <v>#DIV/0!</v>
      </c>
      <c r="G60" s="727">
        <v>2.5299999999999998</v>
      </c>
      <c r="H60" s="39" t="e">
        <f t="shared" si="8"/>
        <v>#DIV/0!</v>
      </c>
      <c r="I60" s="39" t="e">
        <f t="shared" si="8"/>
        <v>#DIV/0!</v>
      </c>
      <c r="J60" s="39" t="e">
        <f t="shared" si="8"/>
        <v>#DIV/0!</v>
      </c>
      <c r="K60" s="39" t="e">
        <f t="shared" si="8"/>
        <v>#DIV/0!</v>
      </c>
      <c r="L60" s="39" t="e">
        <f t="shared" si="8"/>
        <v>#DIV/0!</v>
      </c>
      <c r="M60" s="39" t="e">
        <f t="shared" si="8"/>
        <v>#DIV/0!</v>
      </c>
    </row>
    <row r="61" spans="1:14">
      <c r="A61" s="726" t="s">
        <v>1403</v>
      </c>
      <c r="B61" s="728" t="e">
        <f t="shared" si="3"/>
        <v>#DIV/0!</v>
      </c>
      <c r="C61" s="39" t="e">
        <f t="shared" si="7"/>
        <v>#DIV/0!</v>
      </c>
      <c r="D61" s="39" t="e">
        <f t="shared" si="7"/>
        <v>#DIV/0!</v>
      </c>
      <c r="E61" s="39" t="e">
        <f t="shared" si="7"/>
        <v>#DIV/0!</v>
      </c>
      <c r="F61" s="39" t="e">
        <f t="shared" si="7"/>
        <v>#DIV/0!</v>
      </c>
      <c r="G61" s="727">
        <v>2.5299999999999998</v>
      </c>
      <c r="H61" s="39" t="e">
        <f t="shared" si="8"/>
        <v>#DIV/0!</v>
      </c>
      <c r="I61" s="39" t="e">
        <f t="shared" si="8"/>
        <v>#DIV/0!</v>
      </c>
      <c r="J61" s="39" t="e">
        <f t="shared" si="8"/>
        <v>#DIV/0!</v>
      </c>
      <c r="K61" s="39" t="e">
        <f t="shared" si="8"/>
        <v>#DIV/0!</v>
      </c>
      <c r="L61" s="39" t="e">
        <f t="shared" si="8"/>
        <v>#DIV/0!</v>
      </c>
      <c r="M61" s="39" t="e">
        <f t="shared" si="8"/>
        <v>#DIV/0!</v>
      </c>
    </row>
    <row r="62" spans="1:14">
      <c r="A62" s="726" t="s">
        <v>1404</v>
      </c>
      <c r="B62" s="728" t="e">
        <f t="shared" si="3"/>
        <v>#DIV/0!</v>
      </c>
      <c r="C62" s="39" t="e">
        <f t="shared" si="7"/>
        <v>#DIV/0!</v>
      </c>
      <c r="D62" s="39" t="e">
        <f t="shared" si="7"/>
        <v>#DIV/0!</v>
      </c>
      <c r="E62" s="39" t="e">
        <f t="shared" si="7"/>
        <v>#DIV/0!</v>
      </c>
      <c r="F62" s="39" t="e">
        <f t="shared" si="7"/>
        <v>#DIV/0!</v>
      </c>
      <c r="G62" s="727">
        <v>2.5299999999999998</v>
      </c>
      <c r="H62" s="39" t="e">
        <f t="shared" si="8"/>
        <v>#DIV/0!</v>
      </c>
      <c r="I62" s="39" t="e">
        <f t="shared" si="8"/>
        <v>#DIV/0!</v>
      </c>
      <c r="J62" s="39" t="e">
        <f t="shared" si="8"/>
        <v>#DIV/0!</v>
      </c>
      <c r="K62" s="39" t="e">
        <f t="shared" si="8"/>
        <v>#DIV/0!</v>
      </c>
      <c r="L62" s="39" t="e">
        <f t="shared" si="8"/>
        <v>#DIV/0!</v>
      </c>
      <c r="M62" s="39" t="e">
        <f t="shared" si="8"/>
        <v>#DIV/0!</v>
      </c>
      <c r="N62" s="39"/>
    </row>
    <row r="63" spans="1:14">
      <c r="A63" s="726" t="s">
        <v>1405</v>
      </c>
      <c r="B63" s="728" t="e">
        <f t="shared" si="3"/>
        <v>#DIV/0!</v>
      </c>
      <c r="C63" s="39" t="e">
        <f t="shared" si="7"/>
        <v>#DIV/0!</v>
      </c>
      <c r="D63" s="39" t="e">
        <f t="shared" si="7"/>
        <v>#DIV/0!</v>
      </c>
      <c r="E63" s="39" t="e">
        <f t="shared" si="7"/>
        <v>#DIV/0!</v>
      </c>
      <c r="F63" s="39" t="e">
        <f t="shared" si="7"/>
        <v>#DIV/0!</v>
      </c>
      <c r="G63" s="727">
        <v>1.79</v>
      </c>
      <c r="H63" s="39" t="e">
        <f t="shared" si="8"/>
        <v>#DIV/0!</v>
      </c>
      <c r="I63" s="39" t="e">
        <f t="shared" si="8"/>
        <v>#DIV/0!</v>
      </c>
      <c r="J63" s="39" t="e">
        <f t="shared" si="8"/>
        <v>#DIV/0!</v>
      </c>
      <c r="K63" s="39" t="e">
        <f t="shared" si="8"/>
        <v>#DIV/0!</v>
      </c>
      <c r="L63" s="39" t="e">
        <f t="shared" si="8"/>
        <v>#DIV/0!</v>
      </c>
      <c r="M63" s="39" t="e">
        <f t="shared" si="8"/>
        <v>#DIV/0!</v>
      </c>
    </row>
    <row r="64" spans="1:14">
      <c r="A64" s="795" t="s">
        <v>1406</v>
      </c>
      <c r="B64" s="728" t="e">
        <f t="shared" si="3"/>
        <v>#DIV/0!</v>
      </c>
      <c r="C64" s="39" t="e">
        <f t="shared" si="7"/>
        <v>#DIV/0!</v>
      </c>
      <c r="D64" s="39" t="e">
        <f t="shared" si="7"/>
        <v>#DIV/0!</v>
      </c>
      <c r="E64" s="39" t="e">
        <f t="shared" si="7"/>
        <v>#DIV/0!</v>
      </c>
      <c r="F64" s="39" t="e">
        <f t="shared" si="7"/>
        <v>#DIV/0!</v>
      </c>
      <c r="G64" s="796" t="s">
        <v>21</v>
      </c>
      <c r="H64" s="39" t="e">
        <f t="shared" si="8"/>
        <v>#DIV/0!</v>
      </c>
      <c r="I64" s="39" t="e">
        <f t="shared" si="8"/>
        <v>#DIV/0!</v>
      </c>
      <c r="J64" s="39" t="e">
        <f t="shared" si="8"/>
        <v>#DIV/0!</v>
      </c>
      <c r="K64" s="39" t="e">
        <f t="shared" si="8"/>
        <v>#DIV/0!</v>
      </c>
      <c r="L64" s="39" t="e">
        <f t="shared" si="8"/>
        <v>#DIV/0!</v>
      </c>
      <c r="M64" s="39" t="e">
        <f t="shared" si="8"/>
        <v>#DIV/0!</v>
      </c>
      <c r="N64" s="39"/>
    </row>
    <row r="65" spans="1:17">
      <c r="A65" s="726" t="s">
        <v>1407</v>
      </c>
      <c r="B65" s="728" t="e">
        <f t="shared" si="3"/>
        <v>#DIV/0!</v>
      </c>
      <c r="C65" s="39" t="e">
        <f t="shared" si="7"/>
        <v>#DIV/0!</v>
      </c>
      <c r="D65" s="39" t="e">
        <f t="shared" si="7"/>
        <v>#DIV/0!</v>
      </c>
      <c r="E65" s="39" t="e">
        <f t="shared" si="7"/>
        <v>#DIV/0!</v>
      </c>
      <c r="F65" s="39" t="e">
        <f t="shared" si="7"/>
        <v>#DIV/0!</v>
      </c>
      <c r="G65" s="727">
        <v>2.5299999999999998</v>
      </c>
      <c r="H65" s="39" t="e">
        <f t="shared" si="8"/>
        <v>#DIV/0!</v>
      </c>
      <c r="I65" s="39" t="e">
        <f t="shared" si="8"/>
        <v>#DIV/0!</v>
      </c>
      <c r="J65" s="39" t="e">
        <f t="shared" si="8"/>
        <v>#DIV/0!</v>
      </c>
      <c r="K65" s="39" t="e">
        <f t="shared" si="8"/>
        <v>#DIV/0!</v>
      </c>
      <c r="L65" s="39" t="e">
        <f t="shared" si="8"/>
        <v>#DIV/0!</v>
      </c>
      <c r="M65" s="39" t="e">
        <f t="shared" si="8"/>
        <v>#DIV/0!</v>
      </c>
      <c r="N65" s="39"/>
      <c r="O65" s="39"/>
      <c r="P65" s="39"/>
      <c r="Q65" s="39"/>
    </row>
    <row r="66" spans="1:17">
      <c r="A66" s="797" t="s">
        <v>1408</v>
      </c>
      <c r="B66" s="728" t="e">
        <f t="shared" si="3"/>
        <v>#DIV/0!</v>
      </c>
      <c r="C66" s="39" t="e">
        <f t="shared" si="7"/>
        <v>#DIV/0!</v>
      </c>
      <c r="D66" s="39" t="e">
        <f t="shared" si="7"/>
        <v>#DIV/0!</v>
      </c>
      <c r="E66" s="39" t="e">
        <f t="shared" si="7"/>
        <v>#DIV/0!</v>
      </c>
      <c r="F66" s="39" t="e">
        <f t="shared" si="7"/>
        <v>#DIV/0!</v>
      </c>
      <c r="G66" s="727">
        <v>2.5299999999999998</v>
      </c>
      <c r="H66" s="39" t="e">
        <f t="shared" si="8"/>
        <v>#DIV/0!</v>
      </c>
      <c r="I66" s="39" t="e">
        <f t="shared" si="8"/>
        <v>#DIV/0!</v>
      </c>
      <c r="J66" s="39" t="e">
        <f t="shared" si="8"/>
        <v>#DIV/0!</v>
      </c>
      <c r="K66" s="39" t="e">
        <f t="shared" si="8"/>
        <v>#DIV/0!</v>
      </c>
      <c r="L66" s="39" t="e">
        <f t="shared" si="8"/>
        <v>#DIV/0!</v>
      </c>
      <c r="M66" s="39" t="e">
        <f t="shared" si="8"/>
        <v>#DIV/0!</v>
      </c>
      <c r="N66" s="39"/>
      <c r="O66" s="39"/>
      <c r="P66" s="39"/>
      <c r="Q66" s="39"/>
    </row>
    <row r="67" spans="1:17">
      <c r="A67" s="726" t="s">
        <v>1409</v>
      </c>
      <c r="B67" s="728" t="e">
        <f t="shared" si="3"/>
        <v>#DIV/0!</v>
      </c>
      <c r="C67" s="39" t="e">
        <f t="shared" si="7"/>
        <v>#DIV/0!</v>
      </c>
      <c r="D67" s="39" t="e">
        <f t="shared" si="7"/>
        <v>#DIV/0!</v>
      </c>
      <c r="E67" s="39" t="e">
        <f t="shared" si="7"/>
        <v>#DIV/0!</v>
      </c>
      <c r="F67" s="39" t="e">
        <f t="shared" si="7"/>
        <v>#DIV/0!</v>
      </c>
      <c r="G67" s="727">
        <v>2.5299999999999998</v>
      </c>
      <c r="H67" s="39" t="e">
        <f t="shared" si="8"/>
        <v>#DIV/0!</v>
      </c>
      <c r="I67" s="39" t="e">
        <f t="shared" si="8"/>
        <v>#DIV/0!</v>
      </c>
      <c r="J67" s="39" t="e">
        <f t="shared" si="8"/>
        <v>#DIV/0!</v>
      </c>
      <c r="K67" s="39" t="e">
        <f t="shared" si="8"/>
        <v>#DIV/0!</v>
      </c>
      <c r="L67" s="39" t="e">
        <f t="shared" si="8"/>
        <v>#DIV/0!</v>
      </c>
      <c r="M67" s="39" t="e">
        <f t="shared" si="8"/>
        <v>#DIV/0!</v>
      </c>
      <c r="N67" s="39"/>
    </row>
    <row r="68" spans="1:17">
      <c r="A68" s="726"/>
      <c r="B68" s="728" t="e">
        <f t="shared" si="3"/>
        <v>#DIV/0!</v>
      </c>
      <c r="C68" s="39"/>
      <c r="D68" s="39"/>
      <c r="E68" s="39"/>
      <c r="F68" s="39"/>
      <c r="G68" s="727"/>
      <c r="H68" s="39"/>
      <c r="I68" s="39"/>
      <c r="J68" s="39"/>
      <c r="K68" s="39"/>
      <c r="L68" s="39"/>
      <c r="M68" s="39"/>
      <c r="N68" s="39"/>
      <c r="O68" s="39"/>
      <c r="P68" s="39"/>
      <c r="Q68" s="39"/>
    </row>
    <row r="69" spans="1:17" ht="15.75">
      <c r="A69" s="729"/>
      <c r="B69" s="728" t="e">
        <f t="shared" si="3"/>
        <v>#DIV/0!</v>
      </c>
      <c r="C69" s="39"/>
      <c r="D69" s="39"/>
      <c r="E69" s="39"/>
      <c r="F69" s="39"/>
      <c r="G69" s="729"/>
      <c r="H69" s="39"/>
      <c r="I69" s="39"/>
      <c r="J69" s="39"/>
      <c r="K69" s="39"/>
      <c r="L69" s="39"/>
      <c r="M69" s="39"/>
      <c r="N69" s="39"/>
      <c r="O69" s="39"/>
      <c r="P69" s="39"/>
      <c r="Q69" s="39"/>
    </row>
    <row r="70" spans="1:17">
      <c r="A70" s="726" t="s">
        <v>1410</v>
      </c>
      <c r="B70" s="728" t="e">
        <f t="shared" si="3"/>
        <v>#DIV/0!</v>
      </c>
      <c r="C70" s="39" t="e">
        <f t="shared" ref="C70:G79" si="9">1/0</f>
        <v>#DIV/0!</v>
      </c>
      <c r="D70" s="39" t="e">
        <f t="shared" si="9"/>
        <v>#DIV/0!</v>
      </c>
      <c r="E70" s="39" t="e">
        <f t="shared" si="9"/>
        <v>#DIV/0!</v>
      </c>
      <c r="F70" s="39" t="e">
        <f t="shared" si="9"/>
        <v>#DIV/0!</v>
      </c>
      <c r="G70" s="39" t="e">
        <f t="shared" si="9"/>
        <v>#DIV/0!</v>
      </c>
      <c r="H70" s="727">
        <v>2.58</v>
      </c>
      <c r="I70" s="39" t="e">
        <f t="shared" ref="I70:M79" si="10">1/0</f>
        <v>#DIV/0!</v>
      </c>
      <c r="J70" s="39" t="e">
        <f t="shared" si="10"/>
        <v>#DIV/0!</v>
      </c>
      <c r="K70" s="39" t="e">
        <f t="shared" si="10"/>
        <v>#DIV/0!</v>
      </c>
      <c r="L70" s="39" t="e">
        <f t="shared" si="10"/>
        <v>#DIV/0!</v>
      </c>
      <c r="M70" s="39" t="e">
        <f t="shared" si="10"/>
        <v>#DIV/0!</v>
      </c>
      <c r="O70" s="39"/>
      <c r="P70" s="39"/>
      <c r="Q70" s="39"/>
    </row>
    <row r="71" spans="1:17">
      <c r="A71" s="726" t="s">
        <v>1411</v>
      </c>
      <c r="B71" s="728" t="e">
        <f t="shared" si="3"/>
        <v>#DIV/0!</v>
      </c>
      <c r="C71" s="39" t="e">
        <f t="shared" si="9"/>
        <v>#DIV/0!</v>
      </c>
      <c r="D71" s="39" t="e">
        <f t="shared" si="9"/>
        <v>#DIV/0!</v>
      </c>
      <c r="E71" s="39" t="e">
        <f t="shared" si="9"/>
        <v>#DIV/0!</v>
      </c>
      <c r="F71" s="39" t="e">
        <f t="shared" si="9"/>
        <v>#DIV/0!</v>
      </c>
      <c r="G71" s="39" t="e">
        <f t="shared" si="9"/>
        <v>#DIV/0!</v>
      </c>
      <c r="H71" s="727">
        <v>2.58</v>
      </c>
      <c r="I71" s="39" t="e">
        <f t="shared" si="10"/>
        <v>#DIV/0!</v>
      </c>
      <c r="J71" s="39" t="e">
        <f t="shared" si="10"/>
        <v>#DIV/0!</v>
      </c>
      <c r="K71" s="39" t="e">
        <f t="shared" si="10"/>
        <v>#DIV/0!</v>
      </c>
      <c r="L71" s="39" t="e">
        <f t="shared" si="10"/>
        <v>#DIV/0!</v>
      </c>
      <c r="M71" s="39" t="e">
        <f t="shared" si="10"/>
        <v>#DIV/0!</v>
      </c>
      <c r="O71" s="39"/>
      <c r="P71" s="39"/>
      <c r="Q71" s="39"/>
    </row>
    <row r="72" spans="1:17">
      <c r="A72" s="726" t="s">
        <v>1412</v>
      </c>
      <c r="B72" s="728" t="e">
        <f t="shared" si="3"/>
        <v>#DIV/0!</v>
      </c>
      <c r="C72" s="39" t="e">
        <f t="shared" si="9"/>
        <v>#DIV/0!</v>
      </c>
      <c r="D72" s="39" t="e">
        <f t="shared" si="9"/>
        <v>#DIV/0!</v>
      </c>
      <c r="E72" s="39" t="e">
        <f t="shared" si="9"/>
        <v>#DIV/0!</v>
      </c>
      <c r="F72" s="39" t="e">
        <f t="shared" si="9"/>
        <v>#DIV/0!</v>
      </c>
      <c r="G72" s="39" t="e">
        <f t="shared" si="9"/>
        <v>#DIV/0!</v>
      </c>
      <c r="H72" s="727">
        <v>3.08</v>
      </c>
      <c r="I72" s="39" t="e">
        <f t="shared" si="10"/>
        <v>#DIV/0!</v>
      </c>
      <c r="J72" s="39" t="e">
        <f t="shared" si="10"/>
        <v>#DIV/0!</v>
      </c>
      <c r="K72" s="39" t="e">
        <f t="shared" si="10"/>
        <v>#DIV/0!</v>
      </c>
      <c r="L72" s="39" t="e">
        <f t="shared" si="10"/>
        <v>#DIV/0!</v>
      </c>
      <c r="M72" s="39" t="e">
        <f t="shared" si="10"/>
        <v>#DIV/0!</v>
      </c>
    </row>
    <row r="73" spans="1:17">
      <c r="A73" s="726" t="s">
        <v>1413</v>
      </c>
      <c r="B73" s="728" t="e">
        <f t="shared" si="3"/>
        <v>#DIV/0!</v>
      </c>
      <c r="C73" s="39" t="e">
        <f t="shared" si="9"/>
        <v>#DIV/0!</v>
      </c>
      <c r="D73" s="39" t="e">
        <f t="shared" si="9"/>
        <v>#DIV/0!</v>
      </c>
      <c r="E73" s="39" t="e">
        <f t="shared" si="9"/>
        <v>#DIV/0!</v>
      </c>
      <c r="F73" s="39" t="e">
        <f t="shared" si="9"/>
        <v>#DIV/0!</v>
      </c>
      <c r="G73" s="39" t="e">
        <f t="shared" si="9"/>
        <v>#DIV/0!</v>
      </c>
      <c r="H73" s="727">
        <v>2.58</v>
      </c>
      <c r="I73" s="39" t="e">
        <f t="shared" si="10"/>
        <v>#DIV/0!</v>
      </c>
      <c r="J73" s="39" t="e">
        <f t="shared" si="10"/>
        <v>#DIV/0!</v>
      </c>
      <c r="K73" s="39" t="e">
        <f t="shared" si="10"/>
        <v>#DIV/0!</v>
      </c>
      <c r="L73" s="39" t="e">
        <f t="shared" si="10"/>
        <v>#DIV/0!</v>
      </c>
      <c r="M73" s="39" t="e">
        <f t="shared" si="10"/>
        <v>#DIV/0!</v>
      </c>
    </row>
    <row r="74" spans="1:17">
      <c r="A74" s="726" t="s">
        <v>1414</v>
      </c>
      <c r="B74" s="728" t="e">
        <f t="shared" si="3"/>
        <v>#DIV/0!</v>
      </c>
      <c r="C74" s="39" t="e">
        <f t="shared" si="9"/>
        <v>#DIV/0!</v>
      </c>
      <c r="D74" s="39" t="e">
        <f t="shared" si="9"/>
        <v>#DIV/0!</v>
      </c>
      <c r="E74" s="39" t="e">
        <f t="shared" si="9"/>
        <v>#DIV/0!</v>
      </c>
      <c r="F74" s="39" t="e">
        <f t="shared" si="9"/>
        <v>#DIV/0!</v>
      </c>
      <c r="G74" s="39" t="e">
        <f t="shared" si="9"/>
        <v>#DIV/0!</v>
      </c>
      <c r="H74" s="727">
        <v>3.08</v>
      </c>
      <c r="I74" s="39" t="e">
        <f t="shared" si="10"/>
        <v>#DIV/0!</v>
      </c>
      <c r="J74" s="39" t="e">
        <f t="shared" si="10"/>
        <v>#DIV/0!</v>
      </c>
      <c r="K74" s="39" t="e">
        <f t="shared" si="10"/>
        <v>#DIV/0!</v>
      </c>
      <c r="L74" s="39" t="e">
        <f t="shared" si="10"/>
        <v>#DIV/0!</v>
      </c>
      <c r="M74" s="39" t="e">
        <f t="shared" si="10"/>
        <v>#DIV/0!</v>
      </c>
    </row>
    <row r="75" spans="1:17">
      <c r="A75" s="726" t="s">
        <v>1415</v>
      </c>
      <c r="B75" s="728" t="e">
        <f t="shared" si="3"/>
        <v>#DIV/0!</v>
      </c>
      <c r="C75" s="39" t="e">
        <f t="shared" si="9"/>
        <v>#DIV/0!</v>
      </c>
      <c r="D75" s="39" t="e">
        <f t="shared" si="9"/>
        <v>#DIV/0!</v>
      </c>
      <c r="E75" s="39" t="e">
        <f t="shared" si="9"/>
        <v>#DIV/0!</v>
      </c>
      <c r="F75" s="39" t="e">
        <f t="shared" si="9"/>
        <v>#DIV/0!</v>
      </c>
      <c r="G75" s="39" t="e">
        <f t="shared" si="9"/>
        <v>#DIV/0!</v>
      </c>
      <c r="H75" s="727">
        <v>3.08</v>
      </c>
      <c r="I75" s="39" t="e">
        <f t="shared" si="10"/>
        <v>#DIV/0!</v>
      </c>
      <c r="J75" s="39" t="e">
        <f t="shared" si="10"/>
        <v>#DIV/0!</v>
      </c>
      <c r="K75" s="39" t="e">
        <f t="shared" si="10"/>
        <v>#DIV/0!</v>
      </c>
      <c r="L75" s="39" t="e">
        <f t="shared" si="10"/>
        <v>#DIV/0!</v>
      </c>
      <c r="M75" s="39" t="e">
        <f t="shared" si="10"/>
        <v>#DIV/0!</v>
      </c>
    </row>
    <row r="76" spans="1:17">
      <c r="A76" s="726" t="s">
        <v>1416</v>
      </c>
      <c r="B76" s="728" t="e">
        <f t="shared" si="3"/>
        <v>#DIV/0!</v>
      </c>
      <c r="C76" s="39" t="e">
        <f t="shared" si="9"/>
        <v>#DIV/0!</v>
      </c>
      <c r="D76" s="39" t="e">
        <f t="shared" si="9"/>
        <v>#DIV/0!</v>
      </c>
      <c r="E76" s="39" t="e">
        <f t="shared" si="9"/>
        <v>#DIV/0!</v>
      </c>
      <c r="F76" s="39" t="e">
        <f t="shared" si="9"/>
        <v>#DIV/0!</v>
      </c>
      <c r="G76" s="39" t="e">
        <f t="shared" si="9"/>
        <v>#DIV/0!</v>
      </c>
      <c r="H76" s="727">
        <v>3.08</v>
      </c>
      <c r="I76" s="39" t="e">
        <f t="shared" si="10"/>
        <v>#DIV/0!</v>
      </c>
      <c r="J76" s="39" t="e">
        <f t="shared" si="10"/>
        <v>#DIV/0!</v>
      </c>
      <c r="K76" s="39" t="e">
        <f t="shared" si="10"/>
        <v>#DIV/0!</v>
      </c>
      <c r="L76" s="39" t="e">
        <f t="shared" si="10"/>
        <v>#DIV/0!</v>
      </c>
      <c r="M76" s="39" t="e">
        <f t="shared" si="10"/>
        <v>#DIV/0!</v>
      </c>
    </row>
    <row r="77" spans="1:17">
      <c r="A77" s="726" t="s">
        <v>1417</v>
      </c>
      <c r="B77" s="728" t="e">
        <f t="shared" si="3"/>
        <v>#DIV/0!</v>
      </c>
      <c r="C77" s="39" t="e">
        <f t="shared" si="9"/>
        <v>#DIV/0!</v>
      </c>
      <c r="D77" s="39" t="e">
        <f t="shared" si="9"/>
        <v>#DIV/0!</v>
      </c>
      <c r="E77" s="39" t="e">
        <f t="shared" si="9"/>
        <v>#DIV/0!</v>
      </c>
      <c r="F77" s="39" t="e">
        <f t="shared" si="9"/>
        <v>#DIV/0!</v>
      </c>
      <c r="G77" s="39" t="e">
        <f t="shared" si="9"/>
        <v>#DIV/0!</v>
      </c>
      <c r="H77" s="727">
        <v>3.08</v>
      </c>
      <c r="I77" s="39" t="e">
        <f t="shared" si="10"/>
        <v>#DIV/0!</v>
      </c>
      <c r="J77" s="39" t="e">
        <f t="shared" si="10"/>
        <v>#DIV/0!</v>
      </c>
      <c r="K77" s="39" t="e">
        <f t="shared" si="10"/>
        <v>#DIV/0!</v>
      </c>
      <c r="L77" s="39" t="e">
        <f t="shared" si="10"/>
        <v>#DIV/0!</v>
      </c>
      <c r="M77" s="39" t="e">
        <f t="shared" si="10"/>
        <v>#DIV/0!</v>
      </c>
    </row>
    <row r="78" spans="1:17">
      <c r="A78" s="726" t="s">
        <v>1418</v>
      </c>
      <c r="B78" s="728" t="e">
        <f t="shared" si="3"/>
        <v>#DIV/0!</v>
      </c>
      <c r="C78" s="39" t="e">
        <f t="shared" si="9"/>
        <v>#DIV/0!</v>
      </c>
      <c r="D78" s="39" t="e">
        <f t="shared" si="9"/>
        <v>#DIV/0!</v>
      </c>
      <c r="E78" s="39" t="e">
        <f t="shared" si="9"/>
        <v>#DIV/0!</v>
      </c>
      <c r="F78" s="39" t="e">
        <f t="shared" si="9"/>
        <v>#DIV/0!</v>
      </c>
      <c r="G78" s="39" t="e">
        <f t="shared" si="9"/>
        <v>#DIV/0!</v>
      </c>
      <c r="H78" s="727">
        <v>2.58</v>
      </c>
      <c r="I78" s="39" t="e">
        <f t="shared" si="10"/>
        <v>#DIV/0!</v>
      </c>
      <c r="J78" s="39" t="e">
        <f t="shared" si="10"/>
        <v>#DIV/0!</v>
      </c>
      <c r="K78" s="39" t="e">
        <f t="shared" si="10"/>
        <v>#DIV/0!</v>
      </c>
      <c r="L78" s="39" t="e">
        <f t="shared" si="10"/>
        <v>#DIV/0!</v>
      </c>
      <c r="M78" s="39" t="e">
        <f t="shared" si="10"/>
        <v>#DIV/0!</v>
      </c>
    </row>
    <row r="79" spans="1:17">
      <c r="A79" s="726" t="s">
        <v>1419</v>
      </c>
      <c r="B79" s="728" t="e">
        <f t="shared" si="3"/>
        <v>#DIV/0!</v>
      </c>
      <c r="C79" s="39" t="e">
        <f t="shared" si="9"/>
        <v>#DIV/0!</v>
      </c>
      <c r="D79" s="39" t="e">
        <f t="shared" si="9"/>
        <v>#DIV/0!</v>
      </c>
      <c r="E79" s="39" t="e">
        <f t="shared" si="9"/>
        <v>#DIV/0!</v>
      </c>
      <c r="F79" s="39" t="e">
        <f t="shared" si="9"/>
        <v>#DIV/0!</v>
      </c>
      <c r="G79" s="39" t="e">
        <f t="shared" si="9"/>
        <v>#DIV/0!</v>
      </c>
      <c r="H79" s="727">
        <v>3.08</v>
      </c>
      <c r="I79" s="39" t="e">
        <f t="shared" si="10"/>
        <v>#DIV/0!</v>
      </c>
      <c r="J79" s="39" t="e">
        <f t="shared" si="10"/>
        <v>#DIV/0!</v>
      </c>
      <c r="K79" s="39" t="e">
        <f t="shared" si="10"/>
        <v>#DIV/0!</v>
      </c>
      <c r="L79" s="39" t="e">
        <f t="shared" si="10"/>
        <v>#DIV/0!</v>
      </c>
      <c r="M79" s="39" t="e">
        <f t="shared" si="10"/>
        <v>#DIV/0!</v>
      </c>
    </row>
    <row r="80" spans="1:17">
      <c r="A80" s="726" t="s">
        <v>1420</v>
      </c>
      <c r="B80" s="728" t="e">
        <f t="shared" si="3"/>
        <v>#DIV/0!</v>
      </c>
      <c r="C80" s="39" t="e">
        <f t="shared" ref="C80:G90" si="11">1/0</f>
        <v>#DIV/0!</v>
      </c>
      <c r="D80" s="39" t="e">
        <f t="shared" si="11"/>
        <v>#DIV/0!</v>
      </c>
      <c r="E80" s="39" t="e">
        <f t="shared" si="11"/>
        <v>#DIV/0!</v>
      </c>
      <c r="F80" s="39" t="e">
        <f t="shared" si="11"/>
        <v>#DIV/0!</v>
      </c>
      <c r="G80" s="39" t="e">
        <f t="shared" si="11"/>
        <v>#DIV/0!</v>
      </c>
      <c r="H80" s="727">
        <v>3.08</v>
      </c>
      <c r="I80" s="39" t="e">
        <f t="shared" ref="I80:M90" si="12">1/0</f>
        <v>#DIV/0!</v>
      </c>
      <c r="J80" s="39" t="e">
        <f t="shared" si="12"/>
        <v>#DIV/0!</v>
      </c>
      <c r="K80" s="39" t="e">
        <f t="shared" si="12"/>
        <v>#DIV/0!</v>
      </c>
      <c r="L80" s="39" t="e">
        <f t="shared" si="12"/>
        <v>#DIV/0!</v>
      </c>
      <c r="M80" s="39" t="e">
        <f t="shared" si="12"/>
        <v>#DIV/0!</v>
      </c>
    </row>
    <row r="81" spans="1:17">
      <c r="A81" s="726" t="s">
        <v>1421</v>
      </c>
      <c r="B81" s="728" t="e">
        <f t="shared" si="3"/>
        <v>#DIV/0!</v>
      </c>
      <c r="C81" s="39" t="e">
        <f t="shared" si="11"/>
        <v>#DIV/0!</v>
      </c>
      <c r="D81" s="39" t="e">
        <f t="shared" si="11"/>
        <v>#DIV/0!</v>
      </c>
      <c r="E81" s="39" t="e">
        <f t="shared" si="11"/>
        <v>#DIV/0!</v>
      </c>
      <c r="F81" s="39" t="e">
        <f t="shared" si="11"/>
        <v>#DIV/0!</v>
      </c>
      <c r="G81" s="39" t="e">
        <f t="shared" si="11"/>
        <v>#DIV/0!</v>
      </c>
      <c r="H81" s="727">
        <v>3.08</v>
      </c>
      <c r="I81" s="39" t="e">
        <f t="shared" si="12"/>
        <v>#DIV/0!</v>
      </c>
      <c r="J81" s="39" t="e">
        <f t="shared" si="12"/>
        <v>#DIV/0!</v>
      </c>
      <c r="K81" s="39" t="e">
        <f t="shared" si="12"/>
        <v>#DIV/0!</v>
      </c>
      <c r="L81" s="39" t="e">
        <f t="shared" si="12"/>
        <v>#DIV/0!</v>
      </c>
      <c r="M81" s="39" t="e">
        <f t="shared" si="12"/>
        <v>#DIV/0!</v>
      </c>
    </row>
    <row r="82" spans="1:17">
      <c r="A82" s="726" t="s">
        <v>1422</v>
      </c>
      <c r="B82" s="728" t="e">
        <f t="shared" si="3"/>
        <v>#DIV/0!</v>
      </c>
      <c r="C82" s="39" t="e">
        <f t="shared" si="11"/>
        <v>#DIV/0!</v>
      </c>
      <c r="D82" s="39" t="e">
        <f t="shared" si="11"/>
        <v>#DIV/0!</v>
      </c>
      <c r="E82" s="39" t="e">
        <f t="shared" si="11"/>
        <v>#DIV/0!</v>
      </c>
      <c r="F82" s="39" t="e">
        <f t="shared" si="11"/>
        <v>#DIV/0!</v>
      </c>
      <c r="G82" s="39" t="e">
        <f t="shared" si="11"/>
        <v>#DIV/0!</v>
      </c>
      <c r="H82" s="727">
        <v>3.08</v>
      </c>
      <c r="I82" s="39" t="e">
        <f t="shared" si="12"/>
        <v>#DIV/0!</v>
      </c>
      <c r="J82" s="39" t="e">
        <f t="shared" si="12"/>
        <v>#DIV/0!</v>
      </c>
      <c r="K82" s="39" t="e">
        <f t="shared" si="12"/>
        <v>#DIV/0!</v>
      </c>
      <c r="L82" s="39" t="e">
        <f t="shared" si="12"/>
        <v>#DIV/0!</v>
      </c>
      <c r="M82" s="39" t="e">
        <f t="shared" si="12"/>
        <v>#DIV/0!</v>
      </c>
    </row>
    <row r="83" spans="1:17">
      <c r="A83" s="726" t="s">
        <v>1423</v>
      </c>
      <c r="B83" s="728" t="e">
        <f t="shared" si="3"/>
        <v>#DIV/0!</v>
      </c>
      <c r="C83" s="39" t="e">
        <f t="shared" si="11"/>
        <v>#DIV/0!</v>
      </c>
      <c r="D83" s="39" t="e">
        <f t="shared" si="11"/>
        <v>#DIV/0!</v>
      </c>
      <c r="E83" s="39" t="e">
        <f t="shared" si="11"/>
        <v>#DIV/0!</v>
      </c>
      <c r="F83" s="39" t="e">
        <f t="shared" si="11"/>
        <v>#DIV/0!</v>
      </c>
      <c r="G83" s="39" t="e">
        <f t="shared" si="11"/>
        <v>#DIV/0!</v>
      </c>
      <c r="H83" s="727">
        <v>3.08</v>
      </c>
      <c r="I83" s="39" t="e">
        <f t="shared" si="12"/>
        <v>#DIV/0!</v>
      </c>
      <c r="J83" s="39" t="e">
        <f t="shared" si="12"/>
        <v>#DIV/0!</v>
      </c>
      <c r="K83" s="39" t="e">
        <f t="shared" si="12"/>
        <v>#DIV/0!</v>
      </c>
      <c r="L83" s="39" t="e">
        <f t="shared" si="12"/>
        <v>#DIV/0!</v>
      </c>
      <c r="M83" s="39" t="e">
        <f t="shared" si="12"/>
        <v>#DIV/0!</v>
      </c>
    </row>
    <row r="84" spans="1:17">
      <c r="A84" s="726" t="s">
        <v>1424</v>
      </c>
      <c r="B84" s="728" t="e">
        <f t="shared" si="3"/>
        <v>#DIV/0!</v>
      </c>
      <c r="C84" s="39" t="e">
        <f t="shared" si="11"/>
        <v>#DIV/0!</v>
      </c>
      <c r="D84" s="39" t="e">
        <f t="shared" si="11"/>
        <v>#DIV/0!</v>
      </c>
      <c r="E84" s="39" t="e">
        <f t="shared" si="11"/>
        <v>#DIV/0!</v>
      </c>
      <c r="F84" s="39" t="e">
        <f t="shared" si="11"/>
        <v>#DIV/0!</v>
      </c>
      <c r="G84" s="39" t="e">
        <f t="shared" si="11"/>
        <v>#DIV/0!</v>
      </c>
      <c r="H84" s="727">
        <v>3.08</v>
      </c>
      <c r="I84" s="39" t="e">
        <f t="shared" si="12"/>
        <v>#DIV/0!</v>
      </c>
      <c r="J84" s="39" t="e">
        <f t="shared" si="12"/>
        <v>#DIV/0!</v>
      </c>
      <c r="K84" s="39" t="e">
        <f t="shared" si="12"/>
        <v>#DIV/0!</v>
      </c>
      <c r="L84" s="39" t="e">
        <f t="shared" si="12"/>
        <v>#DIV/0!</v>
      </c>
      <c r="M84" s="39" t="e">
        <f t="shared" si="12"/>
        <v>#DIV/0!</v>
      </c>
    </row>
    <row r="85" spans="1:17">
      <c r="A85" s="726" t="s">
        <v>1425</v>
      </c>
      <c r="B85" s="728" t="e">
        <f t="shared" si="3"/>
        <v>#DIV/0!</v>
      </c>
      <c r="C85" s="39" t="e">
        <f t="shared" si="11"/>
        <v>#DIV/0!</v>
      </c>
      <c r="D85" s="39" t="e">
        <f t="shared" si="11"/>
        <v>#DIV/0!</v>
      </c>
      <c r="E85" s="39" t="e">
        <f t="shared" si="11"/>
        <v>#DIV/0!</v>
      </c>
      <c r="F85" s="39" t="e">
        <f t="shared" si="11"/>
        <v>#DIV/0!</v>
      </c>
      <c r="G85" s="39" t="e">
        <f t="shared" si="11"/>
        <v>#DIV/0!</v>
      </c>
      <c r="H85" s="727">
        <v>3.08</v>
      </c>
      <c r="I85" s="39" t="e">
        <f t="shared" si="12"/>
        <v>#DIV/0!</v>
      </c>
      <c r="J85" s="39" t="e">
        <f t="shared" si="12"/>
        <v>#DIV/0!</v>
      </c>
      <c r="K85" s="39" t="e">
        <f t="shared" si="12"/>
        <v>#DIV/0!</v>
      </c>
      <c r="L85" s="39" t="e">
        <f t="shared" si="12"/>
        <v>#DIV/0!</v>
      </c>
      <c r="M85" s="39" t="e">
        <f t="shared" si="12"/>
        <v>#DIV/0!</v>
      </c>
    </row>
    <row r="86" spans="1:17">
      <c r="A86" s="726" t="s">
        <v>1426</v>
      </c>
      <c r="B86" s="728" t="e">
        <f t="shared" si="3"/>
        <v>#DIV/0!</v>
      </c>
      <c r="C86" s="39" t="e">
        <f t="shared" si="11"/>
        <v>#DIV/0!</v>
      </c>
      <c r="D86" s="39" t="e">
        <f t="shared" si="11"/>
        <v>#DIV/0!</v>
      </c>
      <c r="E86" s="39" t="e">
        <f t="shared" si="11"/>
        <v>#DIV/0!</v>
      </c>
      <c r="F86" s="39" t="e">
        <f t="shared" si="11"/>
        <v>#DIV/0!</v>
      </c>
      <c r="G86" s="39" t="e">
        <f t="shared" si="11"/>
        <v>#DIV/0!</v>
      </c>
      <c r="H86" s="727">
        <v>2.58</v>
      </c>
      <c r="I86" s="39" t="e">
        <f t="shared" si="12"/>
        <v>#DIV/0!</v>
      </c>
      <c r="J86" s="39" t="e">
        <f t="shared" si="12"/>
        <v>#DIV/0!</v>
      </c>
      <c r="K86" s="39" t="e">
        <f t="shared" si="12"/>
        <v>#DIV/0!</v>
      </c>
      <c r="L86" s="39" t="e">
        <f t="shared" si="12"/>
        <v>#DIV/0!</v>
      </c>
      <c r="M86" s="39" t="e">
        <f t="shared" si="12"/>
        <v>#DIV/0!</v>
      </c>
    </row>
    <row r="87" spans="1:17">
      <c r="A87" s="726" t="s">
        <v>1427</v>
      </c>
      <c r="B87" s="728" t="e">
        <f t="shared" si="3"/>
        <v>#DIV/0!</v>
      </c>
      <c r="C87" s="39" t="e">
        <f t="shared" si="11"/>
        <v>#DIV/0!</v>
      </c>
      <c r="D87" s="39" t="e">
        <f t="shared" si="11"/>
        <v>#DIV/0!</v>
      </c>
      <c r="E87" s="39" t="e">
        <f t="shared" si="11"/>
        <v>#DIV/0!</v>
      </c>
      <c r="F87" s="39" t="e">
        <f t="shared" si="11"/>
        <v>#DIV/0!</v>
      </c>
      <c r="G87" s="39" t="e">
        <f t="shared" si="11"/>
        <v>#DIV/0!</v>
      </c>
      <c r="H87" s="727">
        <v>2.74</v>
      </c>
      <c r="I87" s="39" t="e">
        <f t="shared" si="12"/>
        <v>#DIV/0!</v>
      </c>
      <c r="J87" s="39" t="e">
        <f t="shared" si="12"/>
        <v>#DIV/0!</v>
      </c>
      <c r="K87" s="39" t="e">
        <f t="shared" si="12"/>
        <v>#DIV/0!</v>
      </c>
      <c r="L87" s="39" t="e">
        <f t="shared" si="12"/>
        <v>#DIV/0!</v>
      </c>
      <c r="M87" s="39" t="e">
        <f t="shared" si="12"/>
        <v>#DIV/0!</v>
      </c>
      <c r="N87" s="39"/>
      <c r="O87" s="39"/>
      <c r="P87" s="39"/>
      <c r="Q87" s="39"/>
    </row>
    <row r="88" spans="1:17">
      <c r="A88" s="726" t="s">
        <v>1428</v>
      </c>
      <c r="B88" s="728" t="e">
        <f t="shared" si="3"/>
        <v>#DIV/0!</v>
      </c>
      <c r="C88" s="39" t="e">
        <f t="shared" si="11"/>
        <v>#DIV/0!</v>
      </c>
      <c r="D88" s="39" t="e">
        <f t="shared" si="11"/>
        <v>#DIV/0!</v>
      </c>
      <c r="E88" s="39" t="e">
        <f t="shared" si="11"/>
        <v>#DIV/0!</v>
      </c>
      <c r="F88" s="39" t="e">
        <f t="shared" si="11"/>
        <v>#DIV/0!</v>
      </c>
      <c r="G88" s="39" t="e">
        <f t="shared" si="11"/>
        <v>#DIV/0!</v>
      </c>
      <c r="H88" s="727">
        <v>3.34</v>
      </c>
      <c r="I88" s="39" t="e">
        <f t="shared" si="12"/>
        <v>#DIV/0!</v>
      </c>
      <c r="J88" s="39" t="e">
        <f t="shared" si="12"/>
        <v>#DIV/0!</v>
      </c>
      <c r="K88" s="39" t="e">
        <f t="shared" si="12"/>
        <v>#DIV/0!</v>
      </c>
      <c r="L88" s="39" t="e">
        <f t="shared" si="12"/>
        <v>#DIV/0!</v>
      </c>
      <c r="M88" s="39" t="e">
        <f t="shared" si="12"/>
        <v>#DIV/0!</v>
      </c>
      <c r="N88" s="39"/>
      <c r="O88" s="39"/>
      <c r="P88" s="39"/>
      <c r="Q88" s="39"/>
    </row>
    <row r="89" spans="1:17">
      <c r="A89" s="726" t="s">
        <v>1429</v>
      </c>
      <c r="B89" s="728" t="e">
        <f t="shared" si="3"/>
        <v>#DIV/0!</v>
      </c>
      <c r="C89" s="39" t="e">
        <f t="shared" si="11"/>
        <v>#DIV/0!</v>
      </c>
      <c r="D89" s="39" t="e">
        <f t="shared" si="11"/>
        <v>#DIV/0!</v>
      </c>
      <c r="E89" s="39" t="e">
        <f t="shared" si="11"/>
        <v>#DIV/0!</v>
      </c>
      <c r="F89" s="39" t="e">
        <f t="shared" si="11"/>
        <v>#DIV/0!</v>
      </c>
      <c r="G89" s="39" t="e">
        <f t="shared" si="11"/>
        <v>#DIV/0!</v>
      </c>
      <c r="H89" s="727">
        <v>2.5099999999999998</v>
      </c>
      <c r="I89" s="39" t="e">
        <f t="shared" si="12"/>
        <v>#DIV/0!</v>
      </c>
      <c r="J89" s="39" t="e">
        <f t="shared" si="12"/>
        <v>#DIV/0!</v>
      </c>
      <c r="K89" s="39" t="e">
        <f t="shared" si="12"/>
        <v>#DIV/0!</v>
      </c>
      <c r="L89" s="39" t="e">
        <f t="shared" si="12"/>
        <v>#DIV/0!</v>
      </c>
      <c r="M89" s="39" t="e">
        <f t="shared" si="12"/>
        <v>#DIV/0!</v>
      </c>
      <c r="N89" s="39"/>
      <c r="O89" s="39"/>
      <c r="P89" s="39"/>
      <c r="Q89" s="39"/>
    </row>
    <row r="90" spans="1:17">
      <c r="A90" s="726" t="s">
        <v>1430</v>
      </c>
      <c r="B90" s="728" t="e">
        <f t="shared" si="3"/>
        <v>#DIV/0!</v>
      </c>
      <c r="C90" s="39" t="e">
        <f t="shared" si="11"/>
        <v>#DIV/0!</v>
      </c>
      <c r="D90" s="39" t="e">
        <f t="shared" si="11"/>
        <v>#DIV/0!</v>
      </c>
      <c r="E90" s="39" t="e">
        <f t="shared" si="11"/>
        <v>#DIV/0!</v>
      </c>
      <c r="F90" s="39" t="e">
        <f t="shared" si="11"/>
        <v>#DIV/0!</v>
      </c>
      <c r="G90" s="39" t="e">
        <f t="shared" si="11"/>
        <v>#DIV/0!</v>
      </c>
      <c r="H90" s="727">
        <v>2.5099999999999998</v>
      </c>
      <c r="I90" s="39" t="e">
        <f t="shared" si="12"/>
        <v>#DIV/0!</v>
      </c>
      <c r="J90" s="39" t="e">
        <f t="shared" si="12"/>
        <v>#DIV/0!</v>
      </c>
      <c r="K90" s="39" t="e">
        <f t="shared" si="12"/>
        <v>#DIV/0!</v>
      </c>
      <c r="L90" s="39" t="e">
        <f t="shared" si="12"/>
        <v>#DIV/0!</v>
      </c>
      <c r="M90" s="39" t="e">
        <f t="shared" si="12"/>
        <v>#DIV/0!</v>
      </c>
      <c r="N90" s="39"/>
      <c r="O90" s="39"/>
      <c r="P90" s="39"/>
      <c r="Q90" s="39"/>
    </row>
    <row r="91" spans="1:17" ht="15.75">
      <c r="A91" s="729"/>
      <c r="B91" s="728" t="e">
        <f t="shared" si="3"/>
        <v>#DIV/0!</v>
      </c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</row>
    <row r="92" spans="1:17">
      <c r="A92" s="726" t="s">
        <v>1431</v>
      </c>
      <c r="B92" s="728" t="e">
        <f t="shared" si="3"/>
        <v>#DIV/0!</v>
      </c>
      <c r="C92" s="39" t="e">
        <f t="shared" ref="C92:H92" si="13">1/0</f>
        <v>#DIV/0!</v>
      </c>
      <c r="D92" s="39" t="e">
        <f t="shared" si="13"/>
        <v>#DIV/0!</v>
      </c>
      <c r="E92" s="39" t="e">
        <f t="shared" si="13"/>
        <v>#DIV/0!</v>
      </c>
      <c r="F92" s="39" t="e">
        <f t="shared" si="13"/>
        <v>#DIV/0!</v>
      </c>
      <c r="G92" s="39" t="e">
        <f t="shared" si="13"/>
        <v>#DIV/0!</v>
      </c>
      <c r="H92" s="39" t="e">
        <f t="shared" si="13"/>
        <v>#DIV/0!</v>
      </c>
      <c r="I92" s="727">
        <v>3.08</v>
      </c>
      <c r="J92" s="39" t="e">
        <f>1/0</f>
        <v>#DIV/0!</v>
      </c>
      <c r="K92" s="39" t="e">
        <f>1/0</f>
        <v>#DIV/0!</v>
      </c>
      <c r="L92" s="39" t="e">
        <f>1/0</f>
        <v>#DIV/0!</v>
      </c>
      <c r="M92" s="39" t="e">
        <f>1/0</f>
        <v>#DIV/0!</v>
      </c>
      <c r="N92" s="39"/>
      <c r="O92" s="39"/>
      <c r="P92" s="39"/>
      <c r="Q92" s="39"/>
    </row>
    <row r="93" spans="1:17" ht="15.75">
      <c r="A93" s="729"/>
      <c r="B93" s="728" t="e">
        <f t="shared" ref="B93:B113" si="14">1/0</f>
        <v>#DIV/0!</v>
      </c>
      <c r="C93" s="39"/>
      <c r="D93" s="39"/>
      <c r="E93" s="39"/>
      <c r="F93" s="39"/>
      <c r="G93" s="39"/>
      <c r="H93" s="39"/>
      <c r="I93" s="729"/>
      <c r="J93" s="39"/>
      <c r="K93" s="39"/>
      <c r="L93" s="39"/>
      <c r="M93" s="39"/>
      <c r="N93" s="39"/>
      <c r="O93" s="39"/>
      <c r="P93" s="39"/>
      <c r="Q93" s="39"/>
    </row>
    <row r="94" spans="1:17">
      <c r="A94" s="726" t="s">
        <v>1432</v>
      </c>
      <c r="B94" s="728" t="e">
        <f t="shared" si="14"/>
        <v>#DIV/0!</v>
      </c>
      <c r="C94" s="39" t="e">
        <f t="shared" ref="C94:I103" si="15">1/0</f>
        <v>#DIV/0!</v>
      </c>
      <c r="D94" s="39" t="e">
        <f t="shared" si="15"/>
        <v>#DIV/0!</v>
      </c>
      <c r="E94" s="39" t="e">
        <f t="shared" si="15"/>
        <v>#DIV/0!</v>
      </c>
      <c r="F94" s="39" t="e">
        <f t="shared" si="15"/>
        <v>#DIV/0!</v>
      </c>
      <c r="G94" s="39" t="e">
        <f t="shared" si="15"/>
        <v>#DIV/0!</v>
      </c>
      <c r="H94" s="39" t="e">
        <f t="shared" si="15"/>
        <v>#DIV/0!</v>
      </c>
      <c r="I94" s="39" t="e">
        <f t="shared" si="15"/>
        <v>#DIV/0!</v>
      </c>
      <c r="J94" s="727">
        <v>3.77</v>
      </c>
      <c r="K94" s="39" t="e">
        <f t="shared" ref="K94:M103" si="16">1/0</f>
        <v>#DIV/0!</v>
      </c>
      <c r="L94" s="39" t="e">
        <f t="shared" si="16"/>
        <v>#DIV/0!</v>
      </c>
      <c r="M94" s="39" t="e">
        <f t="shared" si="16"/>
        <v>#DIV/0!</v>
      </c>
      <c r="N94" s="39"/>
      <c r="O94" s="39"/>
      <c r="P94" s="39"/>
      <c r="Q94" s="39"/>
    </row>
    <row r="95" spans="1:17">
      <c r="A95" s="726" t="s">
        <v>1433</v>
      </c>
      <c r="B95" s="728" t="e">
        <f t="shared" si="14"/>
        <v>#DIV/0!</v>
      </c>
      <c r="C95" s="39" t="e">
        <f t="shared" si="15"/>
        <v>#DIV/0!</v>
      </c>
      <c r="D95" s="39" t="e">
        <f t="shared" si="15"/>
        <v>#DIV/0!</v>
      </c>
      <c r="E95" s="39" t="e">
        <f t="shared" si="15"/>
        <v>#DIV/0!</v>
      </c>
      <c r="F95" s="39" t="e">
        <f t="shared" si="15"/>
        <v>#DIV/0!</v>
      </c>
      <c r="G95" s="39" t="e">
        <f t="shared" si="15"/>
        <v>#DIV/0!</v>
      </c>
      <c r="H95" s="39" t="e">
        <f t="shared" si="15"/>
        <v>#DIV/0!</v>
      </c>
      <c r="I95" s="39" t="e">
        <f t="shared" si="15"/>
        <v>#DIV/0!</v>
      </c>
      <c r="J95" s="727">
        <v>3.77</v>
      </c>
      <c r="K95" s="39" t="e">
        <f t="shared" si="16"/>
        <v>#DIV/0!</v>
      </c>
      <c r="L95" s="39" t="e">
        <f t="shared" si="16"/>
        <v>#DIV/0!</v>
      </c>
      <c r="M95" s="39" t="e">
        <f t="shared" si="16"/>
        <v>#DIV/0!</v>
      </c>
      <c r="N95" s="39"/>
      <c r="O95" s="39"/>
      <c r="P95" s="39"/>
      <c r="Q95" s="39"/>
    </row>
    <row r="96" spans="1:17">
      <c r="A96" s="726" t="s">
        <v>1434</v>
      </c>
      <c r="B96" s="728" t="e">
        <f t="shared" si="14"/>
        <v>#DIV/0!</v>
      </c>
      <c r="C96" s="39" t="e">
        <f t="shared" si="15"/>
        <v>#DIV/0!</v>
      </c>
      <c r="D96" s="39" t="e">
        <f t="shared" si="15"/>
        <v>#DIV/0!</v>
      </c>
      <c r="E96" s="39" t="e">
        <f t="shared" si="15"/>
        <v>#DIV/0!</v>
      </c>
      <c r="F96" s="39" t="e">
        <f t="shared" si="15"/>
        <v>#DIV/0!</v>
      </c>
      <c r="G96" s="39" t="e">
        <f t="shared" si="15"/>
        <v>#DIV/0!</v>
      </c>
      <c r="H96" s="39" t="e">
        <f t="shared" si="15"/>
        <v>#DIV/0!</v>
      </c>
      <c r="I96" s="39" t="e">
        <f t="shared" si="15"/>
        <v>#DIV/0!</v>
      </c>
      <c r="J96" s="727">
        <v>3.77</v>
      </c>
      <c r="K96" s="39" t="e">
        <f t="shared" si="16"/>
        <v>#DIV/0!</v>
      </c>
      <c r="L96" s="39" t="e">
        <f t="shared" si="16"/>
        <v>#DIV/0!</v>
      </c>
      <c r="M96" s="39" t="e">
        <f t="shared" si="16"/>
        <v>#DIV/0!</v>
      </c>
      <c r="N96" s="39"/>
      <c r="O96" s="39"/>
      <c r="P96" s="39"/>
      <c r="Q96" s="39"/>
    </row>
    <row r="97" spans="1:17">
      <c r="A97" s="726" t="s">
        <v>1435</v>
      </c>
      <c r="B97" s="728" t="e">
        <f t="shared" si="14"/>
        <v>#DIV/0!</v>
      </c>
      <c r="C97" s="39" t="e">
        <f t="shared" si="15"/>
        <v>#DIV/0!</v>
      </c>
      <c r="D97" s="39" t="e">
        <f t="shared" si="15"/>
        <v>#DIV/0!</v>
      </c>
      <c r="E97" s="39" t="e">
        <f t="shared" si="15"/>
        <v>#DIV/0!</v>
      </c>
      <c r="F97" s="39" t="e">
        <f t="shared" si="15"/>
        <v>#DIV/0!</v>
      </c>
      <c r="G97" s="39" t="e">
        <f t="shared" si="15"/>
        <v>#DIV/0!</v>
      </c>
      <c r="H97" s="39" t="e">
        <f t="shared" si="15"/>
        <v>#DIV/0!</v>
      </c>
      <c r="I97" s="39" t="e">
        <f t="shared" si="15"/>
        <v>#DIV/0!</v>
      </c>
      <c r="J97" s="727">
        <v>3.77</v>
      </c>
      <c r="K97" s="39" t="e">
        <f t="shared" si="16"/>
        <v>#DIV/0!</v>
      </c>
      <c r="L97" s="39" t="e">
        <f t="shared" si="16"/>
        <v>#DIV/0!</v>
      </c>
      <c r="M97" s="39" t="e">
        <f t="shared" si="16"/>
        <v>#DIV/0!</v>
      </c>
      <c r="N97" s="39"/>
      <c r="O97" s="39"/>
      <c r="P97" s="39"/>
      <c r="Q97" s="39"/>
    </row>
    <row r="98" spans="1:17">
      <c r="A98" s="726" t="s">
        <v>1436</v>
      </c>
      <c r="B98" s="728" t="e">
        <f t="shared" si="14"/>
        <v>#DIV/0!</v>
      </c>
      <c r="C98" s="39" t="e">
        <f t="shared" si="15"/>
        <v>#DIV/0!</v>
      </c>
      <c r="D98" s="39" t="e">
        <f t="shared" si="15"/>
        <v>#DIV/0!</v>
      </c>
      <c r="E98" s="39" t="e">
        <f t="shared" si="15"/>
        <v>#DIV/0!</v>
      </c>
      <c r="F98" s="39" t="e">
        <f t="shared" si="15"/>
        <v>#DIV/0!</v>
      </c>
      <c r="G98" s="39" t="e">
        <f t="shared" si="15"/>
        <v>#DIV/0!</v>
      </c>
      <c r="H98" s="39" t="e">
        <f t="shared" si="15"/>
        <v>#DIV/0!</v>
      </c>
      <c r="I98" s="39" t="e">
        <f t="shared" si="15"/>
        <v>#DIV/0!</v>
      </c>
      <c r="J98" s="727">
        <v>3.77</v>
      </c>
      <c r="K98" s="39" t="e">
        <f t="shared" si="16"/>
        <v>#DIV/0!</v>
      </c>
      <c r="L98" s="39" t="e">
        <f t="shared" si="16"/>
        <v>#DIV/0!</v>
      </c>
      <c r="M98" s="39" t="e">
        <f t="shared" si="16"/>
        <v>#DIV/0!</v>
      </c>
    </row>
    <row r="99" spans="1:17">
      <c r="A99" s="726" t="s">
        <v>1437</v>
      </c>
      <c r="B99" s="728" t="e">
        <f t="shared" si="14"/>
        <v>#DIV/0!</v>
      </c>
      <c r="C99" s="39" t="e">
        <f t="shared" si="15"/>
        <v>#DIV/0!</v>
      </c>
      <c r="D99" s="39" t="e">
        <f t="shared" si="15"/>
        <v>#DIV/0!</v>
      </c>
      <c r="E99" s="39" t="e">
        <f t="shared" si="15"/>
        <v>#DIV/0!</v>
      </c>
      <c r="F99" s="39" t="e">
        <f t="shared" si="15"/>
        <v>#DIV/0!</v>
      </c>
      <c r="G99" s="39" t="e">
        <f t="shared" si="15"/>
        <v>#DIV/0!</v>
      </c>
      <c r="H99" s="39" t="e">
        <f t="shared" si="15"/>
        <v>#DIV/0!</v>
      </c>
      <c r="I99" s="39" t="e">
        <f t="shared" si="15"/>
        <v>#DIV/0!</v>
      </c>
      <c r="J99" s="727">
        <v>4.03</v>
      </c>
      <c r="K99" s="39" t="e">
        <f t="shared" si="16"/>
        <v>#DIV/0!</v>
      </c>
      <c r="L99" s="39" t="e">
        <f t="shared" si="16"/>
        <v>#DIV/0!</v>
      </c>
      <c r="M99" s="39" t="e">
        <f t="shared" si="16"/>
        <v>#DIV/0!</v>
      </c>
    </row>
    <row r="100" spans="1:17">
      <c r="A100" s="726" t="s">
        <v>1438</v>
      </c>
      <c r="B100" s="728" t="e">
        <f t="shared" si="14"/>
        <v>#DIV/0!</v>
      </c>
      <c r="C100" s="39" t="e">
        <f t="shared" si="15"/>
        <v>#DIV/0!</v>
      </c>
      <c r="D100" s="39" t="e">
        <f t="shared" si="15"/>
        <v>#DIV/0!</v>
      </c>
      <c r="E100" s="39" t="e">
        <f t="shared" si="15"/>
        <v>#DIV/0!</v>
      </c>
      <c r="F100" s="39" t="e">
        <f t="shared" si="15"/>
        <v>#DIV/0!</v>
      </c>
      <c r="G100" s="39" t="e">
        <f t="shared" si="15"/>
        <v>#DIV/0!</v>
      </c>
      <c r="H100" s="39" t="e">
        <f t="shared" si="15"/>
        <v>#DIV/0!</v>
      </c>
      <c r="I100" s="39" t="e">
        <f t="shared" si="15"/>
        <v>#DIV/0!</v>
      </c>
      <c r="J100" s="727">
        <v>4.03</v>
      </c>
      <c r="K100" s="39" t="e">
        <f t="shared" si="16"/>
        <v>#DIV/0!</v>
      </c>
      <c r="L100" s="39" t="e">
        <f t="shared" si="16"/>
        <v>#DIV/0!</v>
      </c>
      <c r="M100" s="39" t="e">
        <f t="shared" si="16"/>
        <v>#DIV/0!</v>
      </c>
    </row>
    <row r="101" spans="1:17">
      <c r="A101" s="726" t="s">
        <v>1439</v>
      </c>
      <c r="B101" s="728" t="e">
        <f t="shared" si="14"/>
        <v>#DIV/0!</v>
      </c>
      <c r="C101" s="39" t="e">
        <f t="shared" si="15"/>
        <v>#DIV/0!</v>
      </c>
      <c r="D101" s="39" t="e">
        <f t="shared" si="15"/>
        <v>#DIV/0!</v>
      </c>
      <c r="E101" s="39" t="e">
        <f t="shared" si="15"/>
        <v>#DIV/0!</v>
      </c>
      <c r="F101" s="39" t="e">
        <f t="shared" si="15"/>
        <v>#DIV/0!</v>
      </c>
      <c r="G101" s="39" t="e">
        <f t="shared" si="15"/>
        <v>#DIV/0!</v>
      </c>
      <c r="H101" s="39" t="e">
        <f t="shared" si="15"/>
        <v>#DIV/0!</v>
      </c>
      <c r="I101" s="39" t="e">
        <f t="shared" si="15"/>
        <v>#DIV/0!</v>
      </c>
      <c r="J101" s="727">
        <v>4.03</v>
      </c>
      <c r="K101" s="39" t="e">
        <f t="shared" si="16"/>
        <v>#DIV/0!</v>
      </c>
      <c r="L101" s="39" t="e">
        <f t="shared" si="16"/>
        <v>#DIV/0!</v>
      </c>
      <c r="M101" s="39" t="e">
        <f t="shared" si="16"/>
        <v>#DIV/0!</v>
      </c>
    </row>
    <row r="102" spans="1:17">
      <c r="A102" s="726" t="s">
        <v>1440</v>
      </c>
      <c r="B102" s="728" t="e">
        <f t="shared" si="14"/>
        <v>#DIV/0!</v>
      </c>
      <c r="C102" s="39" t="e">
        <f t="shared" si="15"/>
        <v>#DIV/0!</v>
      </c>
      <c r="D102" s="39" t="e">
        <f t="shared" si="15"/>
        <v>#DIV/0!</v>
      </c>
      <c r="E102" s="39" t="e">
        <f t="shared" si="15"/>
        <v>#DIV/0!</v>
      </c>
      <c r="F102" s="39" t="e">
        <f t="shared" si="15"/>
        <v>#DIV/0!</v>
      </c>
      <c r="G102" s="39" t="e">
        <f t="shared" si="15"/>
        <v>#DIV/0!</v>
      </c>
      <c r="H102" s="39" t="e">
        <f t="shared" si="15"/>
        <v>#DIV/0!</v>
      </c>
      <c r="I102" s="39" t="e">
        <f t="shared" si="15"/>
        <v>#DIV/0!</v>
      </c>
      <c r="J102" s="727">
        <v>4.03</v>
      </c>
      <c r="K102" s="39" t="e">
        <f t="shared" si="16"/>
        <v>#DIV/0!</v>
      </c>
      <c r="L102" s="39" t="e">
        <f t="shared" si="16"/>
        <v>#DIV/0!</v>
      </c>
      <c r="M102" s="39" t="e">
        <f t="shared" si="16"/>
        <v>#DIV/0!</v>
      </c>
    </row>
    <row r="103" spans="1:17">
      <c r="A103" s="726" t="s">
        <v>1441</v>
      </c>
      <c r="B103" s="728" t="e">
        <f t="shared" si="14"/>
        <v>#DIV/0!</v>
      </c>
      <c r="C103" s="39" t="e">
        <f t="shared" si="15"/>
        <v>#DIV/0!</v>
      </c>
      <c r="D103" s="39" t="e">
        <f t="shared" si="15"/>
        <v>#DIV/0!</v>
      </c>
      <c r="E103" s="39" t="e">
        <f t="shared" si="15"/>
        <v>#DIV/0!</v>
      </c>
      <c r="F103" s="39" t="e">
        <f t="shared" si="15"/>
        <v>#DIV/0!</v>
      </c>
      <c r="G103" s="39" t="e">
        <f t="shared" si="15"/>
        <v>#DIV/0!</v>
      </c>
      <c r="H103" s="39" t="e">
        <f t="shared" si="15"/>
        <v>#DIV/0!</v>
      </c>
      <c r="I103" s="39" t="e">
        <f t="shared" si="15"/>
        <v>#DIV/0!</v>
      </c>
      <c r="J103" s="727">
        <v>4.03</v>
      </c>
      <c r="K103" s="39" t="e">
        <f t="shared" si="16"/>
        <v>#DIV/0!</v>
      </c>
      <c r="L103" s="39" t="e">
        <f t="shared" si="16"/>
        <v>#DIV/0!</v>
      </c>
      <c r="M103" s="39" t="e">
        <f t="shared" si="16"/>
        <v>#DIV/0!</v>
      </c>
    </row>
    <row r="104" spans="1:17" ht="15.75">
      <c r="A104" s="729"/>
      <c r="B104" s="728" t="e">
        <f t="shared" si="14"/>
        <v>#DIV/0!</v>
      </c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</row>
    <row r="105" spans="1:17">
      <c r="A105" s="726" t="s">
        <v>1442</v>
      </c>
      <c r="B105" s="728" t="e">
        <f t="shared" si="14"/>
        <v>#DIV/0!</v>
      </c>
      <c r="C105" s="39" t="e">
        <f t="shared" ref="C105:J110" si="17">1/0</f>
        <v>#DIV/0!</v>
      </c>
      <c r="D105" s="39" t="e">
        <f t="shared" si="17"/>
        <v>#DIV/0!</v>
      </c>
      <c r="E105" s="39" t="e">
        <f t="shared" si="17"/>
        <v>#DIV/0!</v>
      </c>
      <c r="F105" s="39" t="e">
        <f t="shared" si="17"/>
        <v>#DIV/0!</v>
      </c>
      <c r="G105" s="39" t="e">
        <f t="shared" si="17"/>
        <v>#DIV/0!</v>
      </c>
      <c r="H105" s="39" t="e">
        <f t="shared" si="17"/>
        <v>#DIV/0!</v>
      </c>
      <c r="I105" s="39" t="e">
        <f t="shared" si="17"/>
        <v>#DIV/0!</v>
      </c>
      <c r="J105" s="39" t="e">
        <f t="shared" si="17"/>
        <v>#DIV/0!</v>
      </c>
      <c r="K105" s="727">
        <v>3.02</v>
      </c>
      <c r="L105" s="39" t="e">
        <f t="shared" ref="L105:M107" si="18">1/0</f>
        <v>#DIV/0!</v>
      </c>
      <c r="M105" s="39" t="e">
        <f t="shared" si="18"/>
        <v>#DIV/0!</v>
      </c>
    </row>
    <row r="106" spans="1:17">
      <c r="A106" s="726" t="s">
        <v>1443</v>
      </c>
      <c r="B106" s="728" t="e">
        <f t="shared" si="14"/>
        <v>#DIV/0!</v>
      </c>
      <c r="C106" s="39" t="e">
        <f t="shared" si="17"/>
        <v>#DIV/0!</v>
      </c>
      <c r="D106" s="39" t="e">
        <f t="shared" si="17"/>
        <v>#DIV/0!</v>
      </c>
      <c r="E106" s="39" t="e">
        <f t="shared" si="17"/>
        <v>#DIV/0!</v>
      </c>
      <c r="F106" s="39" t="e">
        <f t="shared" si="17"/>
        <v>#DIV/0!</v>
      </c>
      <c r="G106" s="39" t="e">
        <f t="shared" si="17"/>
        <v>#DIV/0!</v>
      </c>
      <c r="H106" s="39" t="e">
        <f t="shared" si="17"/>
        <v>#DIV/0!</v>
      </c>
      <c r="I106" s="39" t="e">
        <f t="shared" si="17"/>
        <v>#DIV/0!</v>
      </c>
      <c r="J106" s="39" t="e">
        <f t="shared" si="17"/>
        <v>#DIV/0!</v>
      </c>
      <c r="K106" s="727">
        <v>3.02</v>
      </c>
      <c r="L106" s="39" t="e">
        <f t="shared" si="18"/>
        <v>#DIV/0!</v>
      </c>
      <c r="M106" s="39" t="e">
        <f t="shared" si="18"/>
        <v>#DIV/0!</v>
      </c>
    </row>
    <row r="107" spans="1:17" ht="15.75">
      <c r="A107" s="729"/>
      <c r="B107" s="728" t="e">
        <f t="shared" si="14"/>
        <v>#DIV/0!</v>
      </c>
      <c r="C107" s="39" t="e">
        <f t="shared" si="17"/>
        <v>#DIV/0!</v>
      </c>
      <c r="D107" s="39" t="e">
        <f t="shared" si="17"/>
        <v>#DIV/0!</v>
      </c>
      <c r="E107" s="39" t="e">
        <f t="shared" si="17"/>
        <v>#DIV/0!</v>
      </c>
      <c r="F107" s="39" t="e">
        <f t="shared" si="17"/>
        <v>#DIV/0!</v>
      </c>
      <c r="G107" s="39" t="e">
        <f t="shared" si="17"/>
        <v>#DIV/0!</v>
      </c>
      <c r="H107" s="39" t="e">
        <f t="shared" si="17"/>
        <v>#DIV/0!</v>
      </c>
      <c r="I107" s="39" t="e">
        <f t="shared" si="17"/>
        <v>#DIV/0!</v>
      </c>
      <c r="J107" s="39" t="e">
        <f t="shared" si="17"/>
        <v>#DIV/0!</v>
      </c>
      <c r="K107" s="39" t="e">
        <f>1/0</f>
        <v>#DIV/0!</v>
      </c>
      <c r="L107" s="39" t="e">
        <f t="shared" si="18"/>
        <v>#DIV/0!</v>
      </c>
      <c r="M107" s="39" t="e">
        <f t="shared" si="18"/>
        <v>#DIV/0!</v>
      </c>
    </row>
    <row r="108" spans="1:17">
      <c r="A108" s="726" t="s">
        <v>1444</v>
      </c>
      <c r="B108" s="728" t="e">
        <f t="shared" si="14"/>
        <v>#DIV/0!</v>
      </c>
      <c r="C108" s="39" t="e">
        <f t="shared" si="17"/>
        <v>#DIV/0!</v>
      </c>
      <c r="D108" s="39" t="e">
        <f t="shared" si="17"/>
        <v>#DIV/0!</v>
      </c>
      <c r="E108" s="39" t="e">
        <f t="shared" si="17"/>
        <v>#DIV/0!</v>
      </c>
      <c r="F108" s="39" t="e">
        <f t="shared" si="17"/>
        <v>#DIV/0!</v>
      </c>
      <c r="G108" s="39" t="e">
        <f t="shared" si="17"/>
        <v>#DIV/0!</v>
      </c>
      <c r="H108" s="39" t="e">
        <f t="shared" si="17"/>
        <v>#DIV/0!</v>
      </c>
      <c r="I108" s="39" t="e">
        <f t="shared" si="17"/>
        <v>#DIV/0!</v>
      </c>
      <c r="J108" s="39" t="e">
        <f t="shared" si="17"/>
        <v>#DIV/0!</v>
      </c>
      <c r="K108" s="39" t="e">
        <f>1/0</f>
        <v>#DIV/0!</v>
      </c>
      <c r="L108" s="727">
        <v>1.97</v>
      </c>
      <c r="M108" s="39" t="e">
        <f>1/0</f>
        <v>#DIV/0!</v>
      </c>
    </row>
    <row r="109" spans="1:17">
      <c r="A109" s="726" t="s">
        <v>1445</v>
      </c>
      <c r="B109" s="728" t="e">
        <f t="shared" si="14"/>
        <v>#DIV/0!</v>
      </c>
      <c r="C109" s="39" t="e">
        <f t="shared" si="17"/>
        <v>#DIV/0!</v>
      </c>
      <c r="D109" s="39" t="e">
        <f t="shared" si="17"/>
        <v>#DIV/0!</v>
      </c>
      <c r="E109" s="39" t="e">
        <f t="shared" si="17"/>
        <v>#DIV/0!</v>
      </c>
      <c r="F109" s="39" t="e">
        <f t="shared" si="17"/>
        <v>#DIV/0!</v>
      </c>
      <c r="G109" s="39" t="e">
        <f t="shared" si="17"/>
        <v>#DIV/0!</v>
      </c>
      <c r="H109" s="39" t="e">
        <f t="shared" si="17"/>
        <v>#DIV/0!</v>
      </c>
      <c r="I109" s="39" t="e">
        <f t="shared" si="17"/>
        <v>#DIV/0!</v>
      </c>
      <c r="J109" s="39" t="e">
        <f t="shared" si="17"/>
        <v>#DIV/0!</v>
      </c>
      <c r="K109" s="39" t="e">
        <f>1/0</f>
        <v>#DIV/0!</v>
      </c>
      <c r="L109" s="727">
        <v>2.64</v>
      </c>
      <c r="M109" s="39" t="e">
        <f>1/0</f>
        <v>#DIV/0!</v>
      </c>
    </row>
    <row r="110" spans="1:17" s="39" customFormat="1">
      <c r="A110" s="825" t="s">
        <v>1657</v>
      </c>
      <c r="B110" s="728" t="e">
        <f t="shared" si="14"/>
        <v>#DIV/0!</v>
      </c>
      <c r="C110" s="39" t="e">
        <f t="shared" si="17"/>
        <v>#DIV/0!</v>
      </c>
      <c r="D110" s="39" t="e">
        <f t="shared" si="17"/>
        <v>#DIV/0!</v>
      </c>
      <c r="E110" s="39" t="e">
        <f t="shared" si="17"/>
        <v>#DIV/0!</v>
      </c>
      <c r="F110" s="39" t="e">
        <f t="shared" si="17"/>
        <v>#DIV/0!</v>
      </c>
      <c r="G110" s="39" t="e">
        <f t="shared" si="17"/>
        <v>#DIV/0!</v>
      </c>
      <c r="H110" s="39" t="e">
        <f t="shared" si="17"/>
        <v>#DIV/0!</v>
      </c>
      <c r="I110" s="39" t="e">
        <f t="shared" si="17"/>
        <v>#DIV/0!</v>
      </c>
      <c r="J110" s="39" t="e">
        <f t="shared" si="17"/>
        <v>#DIV/0!</v>
      </c>
      <c r="K110" s="39" t="e">
        <f>1/0</f>
        <v>#DIV/0!</v>
      </c>
      <c r="L110" s="727">
        <v>3.3</v>
      </c>
      <c r="M110" s="39" t="e">
        <f>1/0</f>
        <v>#DIV/0!</v>
      </c>
    </row>
    <row r="111" spans="1:17" ht="15.75">
      <c r="A111" s="729"/>
      <c r="B111" s="728" t="e">
        <f t="shared" si="14"/>
        <v>#DIV/0!</v>
      </c>
      <c r="C111" s="39"/>
      <c r="D111" s="39"/>
      <c r="E111" s="39"/>
      <c r="F111" s="39"/>
      <c r="G111" s="39"/>
      <c r="H111" s="39"/>
      <c r="I111" s="39"/>
      <c r="J111" s="39"/>
      <c r="K111" s="39"/>
      <c r="L111" s="729"/>
      <c r="M111" s="39"/>
    </row>
    <row r="112" spans="1:17">
      <c r="A112" s="726" t="s">
        <v>1446</v>
      </c>
      <c r="B112" s="728" t="e">
        <f t="shared" si="14"/>
        <v>#DIV/0!</v>
      </c>
      <c r="C112" s="39" t="e">
        <f t="shared" ref="C112:L113" si="19">1/0</f>
        <v>#DIV/0!</v>
      </c>
      <c r="D112" s="39" t="e">
        <f t="shared" si="19"/>
        <v>#DIV/0!</v>
      </c>
      <c r="E112" s="39" t="e">
        <f t="shared" si="19"/>
        <v>#DIV/0!</v>
      </c>
      <c r="F112" s="39" t="e">
        <f t="shared" si="19"/>
        <v>#DIV/0!</v>
      </c>
      <c r="G112" s="39" t="e">
        <f t="shared" si="19"/>
        <v>#DIV/0!</v>
      </c>
      <c r="H112" s="39" t="e">
        <f t="shared" si="19"/>
        <v>#DIV/0!</v>
      </c>
      <c r="I112" s="39" t="e">
        <f t="shared" si="19"/>
        <v>#DIV/0!</v>
      </c>
      <c r="J112" s="39" t="e">
        <f t="shared" si="19"/>
        <v>#DIV/0!</v>
      </c>
      <c r="K112" s="39" t="e">
        <f t="shared" si="19"/>
        <v>#DIV/0!</v>
      </c>
      <c r="L112" s="39" t="e">
        <f t="shared" si="19"/>
        <v>#DIV/0!</v>
      </c>
      <c r="M112" s="727">
        <v>1.97</v>
      </c>
    </row>
    <row r="113" spans="1:13">
      <c r="A113" s="731" t="s">
        <v>1447</v>
      </c>
      <c r="B113" s="728" t="e">
        <f t="shared" si="14"/>
        <v>#DIV/0!</v>
      </c>
      <c r="C113" s="39" t="e">
        <f t="shared" si="19"/>
        <v>#DIV/0!</v>
      </c>
      <c r="D113" s="39" t="e">
        <f t="shared" si="19"/>
        <v>#DIV/0!</v>
      </c>
      <c r="E113" s="39" t="e">
        <f t="shared" si="19"/>
        <v>#DIV/0!</v>
      </c>
      <c r="F113" s="39" t="e">
        <f t="shared" si="19"/>
        <v>#DIV/0!</v>
      </c>
      <c r="G113" s="39" t="e">
        <f t="shared" si="19"/>
        <v>#DIV/0!</v>
      </c>
      <c r="H113" s="39" t="e">
        <f t="shared" si="19"/>
        <v>#DIV/0!</v>
      </c>
      <c r="I113" s="39" t="e">
        <f t="shared" si="19"/>
        <v>#DIV/0!</v>
      </c>
      <c r="J113" s="39" t="e">
        <f t="shared" si="19"/>
        <v>#DIV/0!</v>
      </c>
      <c r="K113" s="39" t="e">
        <f t="shared" si="19"/>
        <v>#DIV/0!</v>
      </c>
      <c r="L113" s="39" t="e">
        <f t="shared" si="19"/>
        <v>#DIV/0!</v>
      </c>
      <c r="M113" s="727">
        <v>1.97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workbookViewId="0">
      <pane xSplit="2" ySplit="12" topLeftCell="C25" activePane="bottomRight" state="frozen"/>
      <selection pane="topRight" activeCell="C1" sqref="C1"/>
      <selection pane="bottomLeft" activeCell="A8" sqref="A8"/>
      <selection pane="bottomRight" activeCell="B35" sqref="B35"/>
    </sheetView>
  </sheetViews>
  <sheetFormatPr defaultRowHeight="15"/>
  <cols>
    <col min="2" max="2" width="24.28515625" bestFit="1" customWidth="1"/>
    <col min="3" max="3" width="11.42578125" customWidth="1"/>
    <col min="4" max="4" width="10.7109375" customWidth="1"/>
    <col min="5" max="5" width="10.7109375" style="39" customWidth="1"/>
    <col min="7" max="7" width="11.42578125" customWidth="1"/>
    <col min="8" max="8" width="16.7109375" customWidth="1"/>
  </cols>
  <sheetData>
    <row r="1" spans="1:16" s="39" customFormat="1">
      <c r="C1" s="39" t="s">
        <v>920</v>
      </c>
      <c r="D1" s="39" t="s">
        <v>938</v>
      </c>
      <c r="E1" s="39" t="s">
        <v>939</v>
      </c>
    </row>
    <row r="2" spans="1:16" s="39" customFormat="1">
      <c r="A2" s="39" t="s">
        <v>313</v>
      </c>
      <c r="C2" s="735">
        <f>D8</f>
        <v>0</v>
      </c>
      <c r="D2" s="735">
        <f>I8</f>
        <v>0</v>
      </c>
      <c r="E2" s="735">
        <f>N8</f>
        <v>0</v>
      </c>
      <c r="G2" s="39">
        <f>IFERROR(D8,0)</f>
        <v>0</v>
      </c>
    </row>
    <row r="3" spans="1:16" s="39" customFormat="1">
      <c r="A3" s="39" t="s">
        <v>314</v>
      </c>
      <c r="C3" s="735">
        <f>D10</f>
        <v>0</v>
      </c>
      <c r="D3" s="735">
        <f>I10</f>
        <v>0</v>
      </c>
      <c r="E3" s="735">
        <f>N10</f>
        <v>0</v>
      </c>
    </row>
    <row r="4" spans="1:16" s="39" customFormat="1"/>
    <row r="5" spans="1:16" s="39" customFormat="1" ht="15.75" thickBot="1"/>
    <row r="6" spans="1:16">
      <c r="A6" s="682"/>
      <c r="B6" s="682"/>
      <c r="C6" s="687" t="s">
        <v>920</v>
      </c>
      <c r="D6" s="688"/>
      <c r="E6" s="34" t="s">
        <v>1263</v>
      </c>
      <c r="F6" s="689" t="s">
        <v>1267</v>
      </c>
      <c r="G6" s="39"/>
      <c r="H6" s="692" t="s">
        <v>938</v>
      </c>
      <c r="I6" s="693"/>
      <c r="J6" s="34" t="s">
        <v>1263</v>
      </c>
      <c r="K6" s="689" t="s">
        <v>1267</v>
      </c>
      <c r="L6" s="39"/>
      <c r="M6" s="696" t="s">
        <v>939</v>
      </c>
      <c r="N6" s="697"/>
      <c r="O6" s="34" t="s">
        <v>1263</v>
      </c>
      <c r="P6" s="689" t="s">
        <v>1267</v>
      </c>
    </row>
    <row r="7" spans="1:16">
      <c r="A7" s="733" t="s">
        <v>1125</v>
      </c>
      <c r="B7" s="714"/>
      <c r="C7" s="127">
        <f>Бланк!$F$10</f>
        <v>0</v>
      </c>
      <c r="D7" s="47">
        <f>IF(C7=0,0,MATCH(C7,Ева[#Headers],0))</f>
        <v>0</v>
      </c>
      <c r="E7" s="705" t="b">
        <f>IF(OR(Бланк!$F$9="_металл",Бланк!$F$9="металл"),IF(OR(D8&gt;0,D7&gt;0),"Ошибка"),0)</f>
        <v>0</v>
      </c>
      <c r="F7" s="716">
        <f>IF(OR(Бланк!$F$9="металл",Бланк!$F$9="Фанера"),"",IF(Бланк!$X$3&gt;2190,VLOOKUP(C8,Ева[],D7,0)*1.4+80/RUR,0))</f>
        <v>0</v>
      </c>
      <c r="G7" s="39"/>
      <c r="H7" s="694">
        <f>Бланк!$F$26</f>
        <v>0</v>
      </c>
      <c r="I7" s="47">
        <f>IF(H7=0,0,MATCH(H7,Ева[#Headers],0))</f>
        <v>0</v>
      </c>
      <c r="J7" s="705" t="b">
        <f>IF(OR(Бланк!$F$25="_металл",Бланк!$F$25="металл"),IF(OR(I8&gt;0,I7&gt;0),"Ошибка"),0)</f>
        <v>0</v>
      </c>
      <c r="K7" s="716">
        <f>IF(Бланк!$X$19&gt;2190,VLOOKUP(H8,Профдекор[],I7,0)*1.4+80/RUR,0)</f>
        <v>0</v>
      </c>
      <c r="L7" s="39"/>
      <c r="M7" s="698" t="str">
        <f>Бланк!$F$42</f>
        <v>ПВХ_Стандарт</v>
      </c>
      <c r="N7" s="47" t="e">
        <f>IF(M7=0,0,MATCH(M7,Ева[#Headers],0))</f>
        <v>#N/A</v>
      </c>
      <c r="O7" s="705">
        <f>IF(OR(Бланк!$F$41="_металл",Бланк!$F$41="металл"),IF(OR(N8&gt;0,N7&gt;0),"Ошибка"),0)</f>
        <v>0</v>
      </c>
      <c r="P7" s="716">
        <f>IF(Бланк!$X$35&gt;2190,VLOOKUP(M8,Ева[],N7,0)*1.4+80/RUR,0)</f>
        <v>0</v>
      </c>
    </row>
    <row r="8" spans="1:16">
      <c r="A8" s="339"/>
      <c r="B8" s="39"/>
      <c r="C8" s="127">
        <f>Бланк!$I$10</f>
        <v>0</v>
      </c>
      <c r="D8" s="704">
        <f>IF(Бланк!E10="ЕТ",IF(C8=0,0,(VLOOKUP(C8,Ева[],D7,0)*1.4*2.5*F8-'Плёнка ПДТ'!$D$16*1.4*2.5*F8)*1.2),0)</f>
        <v>0</v>
      </c>
      <c r="F8" s="720">
        <f>'Плёнка ПДТ'!G12</f>
        <v>1.22</v>
      </c>
      <c r="G8" s="39"/>
      <c r="H8" s="694">
        <f>Бланк!$I$26</f>
        <v>0</v>
      </c>
      <c r="I8" s="704">
        <f>IF(Бланк!E26="ЕТ",IF(H8=0,0,(VLOOKUP(H8,Ева[],I7,0)*1.4*2.5*K8)-'Плёнка ПДТ'!$D$16*1.4*2.5*K8)*1.2,0)</f>
        <v>0</v>
      </c>
      <c r="J8" s="39"/>
      <c r="K8" s="720">
        <f>'Плёнка ПДТ'!L12</f>
        <v>1.22</v>
      </c>
      <c r="L8" s="39"/>
      <c r="M8" s="698">
        <f>Бланк!$I$42</f>
        <v>0</v>
      </c>
      <c r="N8" s="704">
        <f>IF(Бланк!E42="ЕТ",IF(M8=0,0,(VLOOKUP(M8,Ева[],N7,0)*1.4*2.5*P8)-'Плёнка ПДТ'!$D$16*1.4*2.5*P8)*1.2,0)</f>
        <v>0</v>
      </c>
      <c r="O8" s="39"/>
      <c r="P8" s="720">
        <f>'Плёнка ПДТ'!Q12</f>
        <v>1.22</v>
      </c>
    </row>
    <row r="9" spans="1:16">
      <c r="A9" s="733" t="s">
        <v>1259</v>
      </c>
      <c r="B9" s="714"/>
      <c r="C9" s="690">
        <f>Бланк!$F$12</f>
        <v>0</v>
      </c>
      <c r="D9" s="47">
        <f>IF(C9=0,0,MATCH(C9,Ева[#Headers],0))</f>
        <v>0</v>
      </c>
      <c r="E9" s="705">
        <f>IF(OR(Бланк!$F$11="металл_",Бланк!$F$11="металл",Бланк!$F$11="ДСП"),IF(OR(D10&gt;0,D9&gt;0),"Ошибка"),0)</f>
        <v>0</v>
      </c>
      <c r="F9" s="716">
        <f>IF(OR(Бланк!$F$11="ДСП",Бланк!$F$11="металл_"),"",IF(Бланк!$X$3&gt;2205,VLOOKUP(C10,Ева[],D9,0)*1.4+70/RUR,0))</f>
        <v>0</v>
      </c>
      <c r="G9" s="39"/>
      <c r="H9" s="694">
        <f>Бланк!$F$28</f>
        <v>0</v>
      </c>
      <c r="I9" s="47">
        <f>IF(H9=0,0,MATCH(H9,Ева[#Headers],0))</f>
        <v>0</v>
      </c>
      <c r="J9" s="705">
        <f>IF(OR(Бланк!$F$27="_металл",Бланк!$F$27="металл",Бланк!$F$27="ДСП"),IF(OR(I10&gt;0,I9&gt;0),"Ошибка"),0)</f>
        <v>0</v>
      </c>
      <c r="K9" s="700">
        <f>I10*'Плёнка ПДТ'!$A$10*2.5*1.1</f>
        <v>0</v>
      </c>
      <c r="L9" s="39"/>
      <c r="M9" s="698" t="str">
        <f>Бланк!$F$44</f>
        <v>ПВХ_Стандарт</v>
      </c>
      <c r="N9" s="47" t="e">
        <f>IF(M9=0,0,MATCH(M9,Ева[#Headers],0))</f>
        <v>#N/A</v>
      </c>
      <c r="O9" s="705">
        <f>IF(OR(Бланк!$F$43="_металл",Бланк!$F$43="ДСП"),IF(OR(N10&gt;0,N9&gt;0),"Ошибка"),0)</f>
        <v>0</v>
      </c>
      <c r="P9" s="700"/>
    </row>
    <row r="10" spans="1:16" ht="19.5" thickBot="1">
      <c r="A10" s="734" t="s">
        <v>1331</v>
      </c>
      <c r="B10" s="347"/>
      <c r="C10" s="691">
        <f>Бланк!$I$12</f>
        <v>0</v>
      </c>
      <c r="D10" s="704">
        <f>IF(Бланк!E12="ЕТ",IF(C10=0,0,(VLOOKUP(C10,Ева[],D9,0)-'Плёнка ПДТ'!$D$16)*1.4*2.5*1.2+F9),0)</f>
        <v>0</v>
      </c>
      <c r="E10" s="705"/>
      <c r="F10" s="723"/>
      <c r="G10" s="39"/>
      <c r="H10" s="695">
        <f>Бланк!$I$28</f>
        <v>0</v>
      </c>
      <c r="I10" s="704">
        <f>IF(Бланк!E28="ЕТ",IF(H10=0,0,(VLOOKUP(H10,Ева[],I9,0)-'Плёнка ПДТ'!$D$16))*1.4*2.5*1.2,0)</f>
        <v>0</v>
      </c>
      <c r="J10" s="29"/>
      <c r="K10" s="701"/>
      <c r="L10" s="39"/>
      <c r="M10" s="699">
        <f>Бланк!$I$44</f>
        <v>0</v>
      </c>
      <c r="N10" s="704">
        <f>IF(Бланк!E44="ЕТ",IF(M10=0,0,(VLOOKUP(M10,Ева[],N9,0)-'Плёнка ПДТ'!$D$16)*1.4*2.5)*1.2,0)</f>
        <v>0</v>
      </c>
      <c r="O10" s="29"/>
      <c r="P10" s="701"/>
    </row>
    <row r="12" spans="1:16">
      <c r="A12" s="39"/>
      <c r="B12" t="s">
        <v>82</v>
      </c>
      <c r="C12" t="s">
        <v>1329</v>
      </c>
      <c r="D12" t="s">
        <v>1332</v>
      </c>
      <c r="E12" t="s">
        <v>1333</v>
      </c>
      <c r="F12" t="s">
        <v>1330</v>
      </c>
      <c r="G12" t="s">
        <v>1334</v>
      </c>
      <c r="H12" t="s">
        <v>1335</v>
      </c>
    </row>
    <row r="13" spans="1:16">
      <c r="A13" s="39"/>
      <c r="B13" t="s">
        <v>1302</v>
      </c>
      <c r="C13">
        <v>3.8</v>
      </c>
    </row>
    <row r="14" spans="1:16">
      <c r="A14" s="39"/>
      <c r="B14" t="s">
        <v>1303</v>
      </c>
      <c r="C14" s="39">
        <v>3.8</v>
      </c>
    </row>
    <row r="15" spans="1:16">
      <c r="A15" s="39"/>
      <c r="B15" t="s">
        <v>1304</v>
      </c>
      <c r="C15" s="39">
        <v>3.8</v>
      </c>
    </row>
    <row r="16" spans="1:16">
      <c r="A16" s="39"/>
      <c r="B16" t="s">
        <v>1305</v>
      </c>
      <c r="C16" s="39">
        <v>3.8</v>
      </c>
    </row>
    <row r="17" spans="1:4">
      <c r="A17" s="39"/>
      <c r="B17" t="s">
        <v>1306</v>
      </c>
      <c r="C17" s="39">
        <v>3.8</v>
      </c>
    </row>
    <row r="18" spans="1:4">
      <c r="A18" s="39"/>
      <c r="B18" t="s">
        <v>1307</v>
      </c>
      <c r="C18" s="39">
        <v>3.8</v>
      </c>
    </row>
    <row r="19" spans="1:4">
      <c r="A19" s="39"/>
      <c r="B19" t="s">
        <v>1308</v>
      </c>
      <c r="C19" s="39">
        <v>3.8</v>
      </c>
    </row>
    <row r="20" spans="1:4">
      <c r="A20" s="39"/>
    </row>
    <row r="21" spans="1:4">
      <c r="A21" s="39"/>
      <c r="B21" t="s">
        <v>1309</v>
      </c>
      <c r="D21">
        <v>2.5</v>
      </c>
    </row>
    <row r="22" spans="1:4">
      <c r="A22" s="39"/>
      <c r="B22" t="s">
        <v>1310</v>
      </c>
      <c r="D22" s="39">
        <v>2.5</v>
      </c>
    </row>
    <row r="23" spans="1:4">
      <c r="A23" s="39"/>
      <c r="B23" t="s">
        <v>1311</v>
      </c>
      <c r="D23" s="39">
        <v>2.5</v>
      </c>
    </row>
    <row r="24" spans="1:4">
      <c r="A24" s="39"/>
      <c r="B24" t="s">
        <v>1312</v>
      </c>
      <c r="D24" s="39">
        <v>2.5</v>
      </c>
    </row>
    <row r="25" spans="1:4">
      <c r="A25" s="39"/>
      <c r="B25" t="s">
        <v>1313</v>
      </c>
      <c r="D25" s="39">
        <v>2.5</v>
      </c>
    </row>
    <row r="26" spans="1:4">
      <c r="A26" s="39"/>
      <c r="B26" t="s">
        <v>1314</v>
      </c>
      <c r="D26" s="39">
        <v>2.5</v>
      </c>
    </row>
    <row r="27" spans="1:4">
      <c r="A27" s="39"/>
      <c r="B27" t="s">
        <v>1315</v>
      </c>
      <c r="D27" s="39">
        <v>2.5</v>
      </c>
    </row>
    <row r="28" spans="1:4">
      <c r="A28" s="39"/>
      <c r="B28" t="s">
        <v>1316</v>
      </c>
      <c r="D28" s="39">
        <v>2.5</v>
      </c>
    </row>
    <row r="29" spans="1:4">
      <c r="A29" s="39"/>
      <c r="B29" t="s">
        <v>1317</v>
      </c>
      <c r="D29" s="39">
        <v>2.5</v>
      </c>
    </row>
    <row r="30" spans="1:4">
      <c r="A30" s="39"/>
      <c r="B30" t="s">
        <v>1318</v>
      </c>
      <c r="D30" s="39">
        <v>2.5</v>
      </c>
    </row>
    <row r="31" spans="1:4">
      <c r="B31" t="s">
        <v>1319</v>
      </c>
      <c r="D31" s="39">
        <v>2.5</v>
      </c>
    </row>
    <row r="32" spans="1:4">
      <c r="B32" t="s">
        <v>1320</v>
      </c>
      <c r="D32" s="39">
        <v>2.5</v>
      </c>
    </row>
    <row r="33" spans="2:6">
      <c r="B33" t="s">
        <v>1321</v>
      </c>
      <c r="D33" s="39">
        <v>2.5</v>
      </c>
    </row>
    <row r="34" spans="2:6">
      <c r="B34" t="s">
        <v>1322</v>
      </c>
      <c r="D34" s="39">
        <v>2.5</v>
      </c>
    </row>
    <row r="35" spans="2:6">
      <c r="B35" t="s">
        <v>1323</v>
      </c>
      <c r="D35" s="39">
        <v>2.5</v>
      </c>
    </row>
    <row r="36" spans="2:6">
      <c r="B36" t="s">
        <v>1324</v>
      </c>
      <c r="D36" s="39">
        <v>2.5</v>
      </c>
    </row>
    <row r="37" spans="2:6" s="39" customFormat="1">
      <c r="B37" s="39" t="s">
        <v>1450</v>
      </c>
      <c r="D37" s="39">
        <v>2.5</v>
      </c>
    </row>
    <row r="38" spans="2:6">
      <c r="D38" s="39"/>
    </row>
    <row r="39" spans="2:6">
      <c r="B39" t="s">
        <v>1325</v>
      </c>
      <c r="D39" s="39"/>
      <c r="E39" s="39">
        <v>2.7</v>
      </c>
    </row>
    <row r="40" spans="2:6">
      <c r="B40" t="s">
        <v>1326</v>
      </c>
      <c r="D40" s="39"/>
      <c r="E40" s="39">
        <v>2.7</v>
      </c>
    </row>
    <row r="41" spans="2:6">
      <c r="B41" t="s">
        <v>1327</v>
      </c>
      <c r="D41" s="39"/>
      <c r="E41" s="39">
        <v>2.7</v>
      </c>
    </row>
    <row r="42" spans="2:6">
      <c r="B42" t="s">
        <v>1328</v>
      </c>
      <c r="D42" s="39"/>
      <c r="E42" s="39">
        <v>2.7</v>
      </c>
    </row>
    <row r="44" spans="2:6">
      <c r="B44" t="s">
        <v>1288</v>
      </c>
      <c r="F44">
        <v>2.6</v>
      </c>
    </row>
    <row r="45" spans="2:6">
      <c r="B45" t="s">
        <v>1289</v>
      </c>
      <c r="F45" s="39">
        <v>2.6</v>
      </c>
    </row>
    <row r="46" spans="2:6">
      <c r="B46" t="s">
        <v>1290</v>
      </c>
      <c r="F46" s="39">
        <v>2.6</v>
      </c>
    </row>
    <row r="47" spans="2:6">
      <c r="B47" t="s">
        <v>1291</v>
      </c>
      <c r="F47" s="39">
        <v>2.6</v>
      </c>
    </row>
    <row r="48" spans="2:6">
      <c r="B48" t="s">
        <v>1292</v>
      </c>
      <c r="F48" s="39">
        <v>2.6</v>
      </c>
    </row>
    <row r="50" spans="2:8">
      <c r="B50" t="s">
        <v>1293</v>
      </c>
      <c r="G50">
        <v>4.2</v>
      </c>
    </row>
    <row r="51" spans="2:8">
      <c r="B51" t="s">
        <v>1294</v>
      </c>
      <c r="G51" s="39">
        <v>4.2</v>
      </c>
    </row>
    <row r="52" spans="2:8">
      <c r="B52" t="s">
        <v>1295</v>
      </c>
      <c r="G52" s="39">
        <v>4.2</v>
      </c>
    </row>
    <row r="53" spans="2:8">
      <c r="B53" t="s">
        <v>1296</v>
      </c>
      <c r="G53" s="39">
        <v>4.2</v>
      </c>
    </row>
    <row r="54" spans="2:8">
      <c r="B54" t="s">
        <v>1297</v>
      </c>
      <c r="G54" s="39">
        <v>4.2</v>
      </c>
    </row>
    <row r="55" spans="2:8">
      <c r="B55" t="s">
        <v>1298</v>
      </c>
      <c r="G55" s="39">
        <v>4.2</v>
      </c>
    </row>
    <row r="56" spans="2:8">
      <c r="B56" t="s">
        <v>1299</v>
      </c>
      <c r="G56" s="39">
        <v>4.2</v>
      </c>
    </row>
    <row r="57" spans="2:8">
      <c r="B57" t="s">
        <v>1300</v>
      </c>
      <c r="G57" s="39">
        <v>4.2</v>
      </c>
    </row>
    <row r="59" spans="2:8">
      <c r="B59" t="s">
        <v>1301</v>
      </c>
      <c r="H59">
        <v>3.2</v>
      </c>
    </row>
    <row r="60" spans="2:8">
      <c r="B60" t="s">
        <v>1336</v>
      </c>
      <c r="H60">
        <v>3.2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1"/>
  <sheetViews>
    <sheetView topLeftCell="A40" workbookViewId="0">
      <selection activeCell="J62" sqref="J62"/>
    </sheetView>
  </sheetViews>
  <sheetFormatPr defaultRowHeight="15"/>
  <cols>
    <col min="2" max="12" width="12.5703125" customWidth="1"/>
    <col min="13" max="13" width="12.5703125" style="39" customWidth="1"/>
    <col min="14" max="15" width="12.5703125" customWidth="1"/>
  </cols>
  <sheetData>
    <row r="2" spans="2:11">
      <c r="D2" s="39" t="str">
        <f>CONCATENATE(Бланк!L2,Бланк!F9)</f>
        <v>О_металл</v>
      </c>
      <c r="F2" s="39" t="str">
        <f>CONCATENATE(Бланк!L18,Бланк!F25)</f>
        <v>Мметалл</v>
      </c>
      <c r="H2" s="39" t="str">
        <f>CONCATENATE(Бланк!L34,Бланк!F41)</f>
        <v>ММДФ</v>
      </c>
    </row>
    <row r="3" spans="2:11">
      <c r="D3">
        <f>MATCH(D2,Таблица7[Столбец1],0)+1</f>
        <v>8</v>
      </c>
      <c r="F3" s="39">
        <f>MATCH(F2,Таблица7[Столбец1],0)+1</f>
        <v>9</v>
      </c>
      <c r="H3" s="39">
        <f>MATCH(H2,Таблица7[Столбец1],0)+1</f>
        <v>5</v>
      </c>
    </row>
    <row r="4" spans="2:11" ht="18.75">
      <c r="C4" s="353" t="s">
        <v>741</v>
      </c>
      <c r="D4" t="str">
        <f>HLOOKUP(Бланк!M2,Таблица7[#All],D3,0)</f>
        <v>_металл</v>
      </c>
      <c r="F4" t="str">
        <f>HLOOKUP(Бланк!M18,Таблица7[#All],F3,0)</f>
        <v>Металл</v>
      </c>
      <c r="H4" t="str">
        <f>HLOOKUP(Бланк!M34,Таблица7[#All],H3,0)</f>
        <v>МДФ</v>
      </c>
    </row>
    <row r="5" spans="2:11">
      <c r="C5" s="122" t="s">
        <v>82</v>
      </c>
      <c r="D5" s="333" t="s">
        <v>412</v>
      </c>
      <c r="E5" s="333" t="s">
        <v>413</v>
      </c>
      <c r="F5" s="122" t="s">
        <v>414</v>
      </c>
      <c r="G5" s="122" t="s">
        <v>415</v>
      </c>
      <c r="H5" s="122" t="s">
        <v>416</v>
      </c>
      <c r="I5" s="122" t="s">
        <v>417</v>
      </c>
      <c r="J5" s="122" t="s">
        <v>418</v>
      </c>
      <c r="K5" s="122" t="s">
        <v>441</v>
      </c>
    </row>
    <row r="6" spans="2:11">
      <c r="C6" s="31" t="s">
        <v>740</v>
      </c>
      <c r="D6" s="31" t="e">
        <f>1/0</f>
        <v>#DIV/0!</v>
      </c>
      <c r="E6" s="31" t="e">
        <f>1/0</f>
        <v>#DIV/0!</v>
      </c>
      <c r="F6" s="42" t="s">
        <v>985</v>
      </c>
      <c r="G6" s="358"/>
      <c r="H6" s="358"/>
      <c r="I6" s="358"/>
      <c r="J6" s="360"/>
      <c r="K6" s="31"/>
    </row>
    <row r="7" spans="2:11">
      <c r="C7" s="31" t="s">
        <v>742</v>
      </c>
      <c r="D7" s="31" t="s">
        <v>344</v>
      </c>
      <c r="E7" s="40" t="s">
        <v>344</v>
      </c>
      <c r="F7" s="31" t="e">
        <f>1/0</f>
        <v>#DIV/0!</v>
      </c>
      <c r="G7" s="358"/>
      <c r="H7" s="358"/>
      <c r="I7" s="358"/>
      <c r="J7" s="358"/>
      <c r="K7" s="31"/>
    </row>
    <row r="8" spans="2:11" ht="18.75">
      <c r="B8" s="347" t="s">
        <v>747</v>
      </c>
      <c r="C8" s="31" t="s">
        <v>743</v>
      </c>
      <c r="D8" s="31" t="s">
        <v>345</v>
      </c>
      <c r="E8" t="s">
        <v>345</v>
      </c>
      <c r="F8" s="31" t="e">
        <f>1/0</f>
        <v>#DIV/0!</v>
      </c>
      <c r="G8" s="358"/>
      <c r="H8" s="358"/>
      <c r="I8" s="358"/>
      <c r="J8" s="358"/>
      <c r="K8" s="31"/>
    </row>
    <row r="9" spans="2:11">
      <c r="C9" s="31" t="s">
        <v>773</v>
      </c>
      <c r="D9" s="358"/>
      <c r="E9" s="358"/>
      <c r="F9" s="360"/>
      <c r="G9" s="31" t="e">
        <f>1/0</f>
        <v>#DIV/0!</v>
      </c>
      <c r="H9" s="31" t="e">
        <f>1/0</f>
        <v>#DIV/0!</v>
      </c>
      <c r="I9" s="31" t="e">
        <f>1/0</f>
        <v>#DIV/0!</v>
      </c>
      <c r="J9" s="42" t="s">
        <v>6</v>
      </c>
      <c r="K9" s="31"/>
    </row>
    <row r="10" spans="2:11">
      <c r="C10" s="31" t="s">
        <v>744</v>
      </c>
      <c r="D10" s="358"/>
      <c r="E10" s="359"/>
      <c r="F10" s="358"/>
      <c r="G10" s="31" t="s">
        <v>344</v>
      </c>
      <c r="H10" s="31" t="s">
        <v>344</v>
      </c>
      <c r="I10" s="31" t="e">
        <f>1/0</f>
        <v>#DIV/0!</v>
      </c>
      <c r="J10" s="31" t="e">
        <f>1/0</f>
        <v>#DIV/0!</v>
      </c>
      <c r="K10" s="31"/>
    </row>
    <row r="11" spans="2:11">
      <c r="C11" s="31" t="s">
        <v>745</v>
      </c>
      <c r="D11" s="358"/>
      <c r="E11" s="359"/>
      <c r="F11" s="358"/>
      <c r="G11" s="31" t="s">
        <v>345</v>
      </c>
      <c r="H11" s="31" t="s">
        <v>345</v>
      </c>
      <c r="I11" s="31" t="e">
        <f>1/0</f>
        <v>#DIV/0!</v>
      </c>
      <c r="J11" s="31" t="e">
        <f>1/0</f>
        <v>#DIV/0!</v>
      </c>
      <c r="K11" s="31"/>
    </row>
    <row r="12" spans="2:11">
      <c r="C12" s="31" t="s">
        <v>765</v>
      </c>
      <c r="D12" s="31" t="s">
        <v>764</v>
      </c>
      <c r="E12" s="31" t="s">
        <v>764</v>
      </c>
      <c r="F12" s="370"/>
      <c r="G12" s="370"/>
      <c r="H12" s="369"/>
      <c r="I12" s="369"/>
      <c r="J12" s="369"/>
      <c r="K12" s="31"/>
    </row>
    <row r="13" spans="2:11">
      <c r="C13" s="31" t="s">
        <v>760</v>
      </c>
      <c r="D13" s="369"/>
      <c r="E13" s="370"/>
      <c r="F13" s="370"/>
      <c r="G13" t="s">
        <v>2</v>
      </c>
      <c r="H13" s="39" t="s">
        <v>2</v>
      </c>
      <c r="I13" s="39" t="s">
        <v>2</v>
      </c>
      <c r="J13" s="358"/>
      <c r="K13" s="31"/>
    </row>
    <row r="14" spans="2:11">
      <c r="C14" s="31" t="s">
        <v>863</v>
      </c>
      <c r="D14" s="31"/>
      <c r="H14" s="31"/>
      <c r="I14" s="31"/>
      <c r="J14" s="31"/>
      <c r="K14" s="31"/>
    </row>
    <row r="15" spans="2:11">
      <c r="C15" s="410" t="s">
        <v>878</v>
      </c>
      <c r="D15" s="411"/>
      <c r="E15" s="345"/>
      <c r="F15" s="345"/>
      <c r="G15" s="345"/>
      <c r="H15" s="411"/>
      <c r="I15" s="411"/>
      <c r="J15" s="411"/>
      <c r="K15" s="411" t="s">
        <v>6</v>
      </c>
    </row>
    <row r="16" spans="2:11">
      <c r="C16" s="520" t="s">
        <v>991</v>
      </c>
      <c r="D16" s="31" t="e">
        <f>1/0</f>
        <v>#DIV/0!</v>
      </c>
      <c r="E16" s="31" t="e">
        <f>1/0</f>
        <v>#DIV/0!</v>
      </c>
      <c r="F16" s="31"/>
      <c r="G16" s="31" t="e">
        <f>1/0</f>
        <v>#DIV/0!</v>
      </c>
      <c r="H16" s="31" t="e">
        <f>1/0</f>
        <v>#DIV/0!</v>
      </c>
      <c r="I16" s="31" t="e">
        <f>1/0</f>
        <v>#DIV/0!</v>
      </c>
      <c r="J16" s="31"/>
      <c r="K16" s="520"/>
    </row>
    <row r="17" spans="2:11">
      <c r="C17" s="31" t="s">
        <v>1228</v>
      </c>
      <c r="D17" s="31"/>
      <c r="H17" s="31"/>
      <c r="I17" s="31"/>
      <c r="J17" s="31"/>
      <c r="K17" s="31"/>
    </row>
    <row r="20" spans="2:11" ht="15.75" thickBot="1"/>
    <row r="21" spans="2:11">
      <c r="C21" s="40"/>
      <c r="D21" s="35" t="str">
        <f>IF(D22="",CONCATENATE(Бланк!$L$2,Бланк!$F$11,E21),D22)</f>
        <v>ОМДФ_10 лам.</v>
      </c>
      <c r="E21" s="33" t="str">
        <f>IF(OR(Бланк!$R$2="2-х конт.",Бланк!$G$6="ПКТ",Бланк!$G$11="МДФ_без_молд"),"",Бланк!$R$2)</f>
        <v/>
      </c>
      <c r="F21" s="35" t="str">
        <f>IF(F22="",CONCATENATE(Бланк!$L$18,Бланк!$F$27,G21),F22)</f>
        <v>ММДФ_10 лам.</v>
      </c>
      <c r="G21" s="33" t="str">
        <f>IF(OR(Бланк!$R$18="2-х конт.",Бланк!$G$22="ПКТ",Бланк!$G$27="МДФ_без_молд"),"",Бланк!$R$18)</f>
        <v/>
      </c>
      <c r="H21" s="35" t="str">
        <f>IF(H22="",CONCATENATE(Бланк!$L$34,Бланк!$F$43,I21),H22)</f>
        <v>ММДФ</v>
      </c>
      <c r="I21" s="33" t="str">
        <f>IF(OR(Бланк!$R$34="2-х конт.",Бланк!$G$38="ПКТ",Бланк!$G$43="МДФ_без_молд"),"",Бланк!$R$34)</f>
        <v/>
      </c>
      <c r="J21" s="40"/>
    </row>
    <row r="22" spans="2:11" ht="15.75" thickBot="1">
      <c r="C22" s="41"/>
      <c r="D22" s="469" t="str">
        <f>IF(OR(Бланк!G6="",Бланк!G6="Микро-термо разрыв"),"",CONCATENATE(Бланк!L2,Бланк!G6))</f>
        <v/>
      </c>
      <c r="E22" s="470">
        <f>MATCH(D21,Таблица12[Столбец1],0)+1</f>
        <v>29</v>
      </c>
      <c r="F22" s="469" t="str">
        <f>IF(OR(Бланк!G22="",Бланк!G22="Микро-термо разрыв"),"",CONCATENATE(Бланк!L18,Бланк!G22))</f>
        <v/>
      </c>
      <c r="G22" s="470">
        <f>MATCH(F21,Таблица12[Столбец1],0)+1</f>
        <v>30</v>
      </c>
      <c r="H22" s="469" t="str">
        <f>IF(OR(Бланк!G38="",Бланк!G38="Микро-термо разрыв"),"",CONCATENATE(Бланк!L34,Бланк!G38))</f>
        <v/>
      </c>
      <c r="I22" s="470">
        <f>MATCH(H21,Таблица12[Столбец1],0)+1</f>
        <v>8</v>
      </c>
    </row>
    <row r="23" spans="2:11">
      <c r="D23" s="35" t="str">
        <f>D21</f>
        <v>ОМДФ_10 лам.</v>
      </c>
      <c r="E23" s="33">
        <f>MATCH(Бланк!M2,Таблица12[#Headers],0)</f>
        <v>2</v>
      </c>
      <c r="F23" s="35" t="str">
        <f>F21</f>
        <v>ММДФ_10 лам.</v>
      </c>
      <c r="G23" s="33">
        <f>MATCH(Бланк!M18,Таблица12[#Headers],0)</f>
        <v>6</v>
      </c>
      <c r="H23" s="35" t="str">
        <f>H21</f>
        <v>ММДФ</v>
      </c>
      <c r="I23" s="33">
        <f>MATCH(Бланк!M34,Таблица12[#Headers],0)</f>
        <v>8</v>
      </c>
    </row>
    <row r="24" spans="2:11" ht="15.75" thickBot="1">
      <c r="C24" s="336" t="s">
        <v>896</v>
      </c>
      <c r="D24" s="30">
        <f>IF(VLOOKUP(D23,Таблица12[],E23,0)=D26,0,1/0)</f>
        <v>0</v>
      </c>
      <c r="E24" s="468"/>
      <c r="F24" s="30">
        <f>IF(VLOOKUP(F23,Таблица12[],G23,0)=F26,0,1/0)</f>
        <v>0</v>
      </c>
      <c r="G24" s="468"/>
      <c r="H24" s="30">
        <f>IF(VLOOKUP(H23,Таблица12[],I23,0)=H26,0,1/0)</f>
        <v>0</v>
      </c>
      <c r="I24" s="468"/>
    </row>
    <row r="25" spans="2:11">
      <c r="C25" s="40"/>
      <c r="E25" s="39"/>
      <c r="G25" s="39"/>
      <c r="I25" s="40"/>
      <c r="J25" s="40"/>
    </row>
    <row r="26" spans="2:11" ht="18.75">
      <c r="C26" s="353" t="s">
        <v>749</v>
      </c>
      <c r="D26" s="39">
        <f>HLOOKUP(Бланк!M2,Таблица12[#All],E22,0)</f>
        <v>0</v>
      </c>
      <c r="E26" s="39"/>
      <c r="F26" s="39">
        <f>HLOOKUP(Бланк!M18,Таблица12[#All],G22,0)</f>
        <v>0</v>
      </c>
      <c r="G26" s="39"/>
      <c r="H26" s="39" t="str">
        <f>HLOOKUP(Бланк!M34,Таблица12[#All],I22,0)</f>
        <v>МДФ</v>
      </c>
      <c r="I26" s="39"/>
      <c r="J26" s="39"/>
    </row>
    <row r="27" spans="2:11" ht="18.75">
      <c r="B27" s="347" t="s">
        <v>748</v>
      </c>
      <c r="C27" s="122" t="s">
        <v>82</v>
      </c>
      <c r="D27" s="333" t="s">
        <v>412</v>
      </c>
      <c r="E27" s="333" t="s">
        <v>413</v>
      </c>
      <c r="F27" s="122" t="s">
        <v>414</v>
      </c>
      <c r="G27" s="122" t="s">
        <v>415</v>
      </c>
      <c r="H27" s="122" t="s">
        <v>416</v>
      </c>
      <c r="I27" s="122" t="s">
        <v>417</v>
      </c>
      <c r="J27" s="122" t="s">
        <v>418</v>
      </c>
      <c r="K27" s="122" t="s">
        <v>441</v>
      </c>
    </row>
    <row r="28" spans="2:11">
      <c r="C28" s="31" t="s">
        <v>753</v>
      </c>
      <c r="D28" s="31"/>
      <c r="E28" s="42" t="str">
        <f>Таблица11[[#Headers],[МДФ]]</f>
        <v>МДФ</v>
      </c>
      <c r="F28" s="42" t="s">
        <v>985</v>
      </c>
      <c r="G28" s="359"/>
      <c r="H28" s="360"/>
      <c r="I28" s="360"/>
      <c r="J28" s="360"/>
      <c r="K28" s="31"/>
    </row>
    <row r="29" spans="2:11">
      <c r="C29" s="31" t="s">
        <v>740</v>
      </c>
      <c r="D29" s="31"/>
      <c r="E29" s="42" t="str">
        <f>Таблица11[[#Headers],[МДФ]]</f>
        <v>МДФ</v>
      </c>
      <c r="F29" s="42" t="s">
        <v>985</v>
      </c>
      <c r="H29" s="31"/>
      <c r="I29" s="31"/>
      <c r="J29" s="31"/>
      <c r="K29" s="31"/>
    </row>
    <row r="30" spans="2:11">
      <c r="C30" s="31" t="s">
        <v>750</v>
      </c>
      <c r="D30" s="31" t="str">
        <f>Таблица11[[#Headers],[ДСП]]</f>
        <v>ДСП</v>
      </c>
      <c r="E30" s="31" t="str">
        <f>Таблица11[[#Headers],[ДСП]]</f>
        <v>ДСП</v>
      </c>
      <c r="F30" t="e">
        <f>1/0</f>
        <v>#DIV/0!</v>
      </c>
      <c r="G30" s="358"/>
      <c r="H30" s="358"/>
      <c r="I30" s="358"/>
      <c r="J30" s="358"/>
      <c r="K30" s="31"/>
    </row>
    <row r="31" spans="2:11">
      <c r="C31" s="31" t="s">
        <v>742</v>
      </c>
      <c r="D31" s="31" t="str">
        <f>Таблица11[[#Headers],[Винкожа_РФ]]</f>
        <v>Винкожа_РФ</v>
      </c>
      <c r="E31" s="31" t="str">
        <f>Таблица11[[#Headers],[Винкожа_РФ]]</f>
        <v>Винкожа_РФ</v>
      </c>
      <c r="F31" s="39" t="e">
        <f>1/0</f>
        <v>#DIV/0!</v>
      </c>
      <c r="G31" s="359"/>
      <c r="H31" s="358"/>
      <c r="I31" s="358"/>
      <c r="J31" s="358"/>
      <c r="K31" s="31"/>
    </row>
    <row r="32" spans="2:11">
      <c r="C32" s="31" t="s">
        <v>743</v>
      </c>
      <c r="D32" s="31" t="str">
        <f>Таблица11[[#Headers],[Винкожа_Индия]]</f>
        <v>Винкожа_Индия</v>
      </c>
      <c r="E32" s="39" t="str">
        <f>Таблица11[[#Headers],[Винкожа_Индия]]</f>
        <v>Винкожа_Индия</v>
      </c>
      <c r="F32" s="39" t="e">
        <f>1/0</f>
        <v>#DIV/0!</v>
      </c>
      <c r="G32" s="359"/>
      <c r="H32" s="358"/>
      <c r="I32" s="358"/>
      <c r="J32" s="358"/>
      <c r="K32" s="31"/>
    </row>
    <row r="33" spans="3:11">
      <c r="C33" s="31" t="s">
        <v>752</v>
      </c>
      <c r="D33" s="358"/>
      <c r="E33" s="360"/>
      <c r="F33" s="360"/>
      <c r="G33" s="39"/>
      <c r="H33" s="31" t="str">
        <f>Таблица11[[#Headers],[МДФ]]</f>
        <v>МДФ</v>
      </c>
      <c r="I33" s="31" t="str">
        <f>Таблица11[[#Headers],[МДФ]]</f>
        <v>МДФ</v>
      </c>
      <c r="J33" s="31" t="str">
        <f>Таблица11[[#Headers],[МДФ]]</f>
        <v>МДФ</v>
      </c>
      <c r="K33" s="31"/>
    </row>
    <row r="34" spans="3:11">
      <c r="C34" s="31" t="s">
        <v>773</v>
      </c>
      <c r="D34" s="31"/>
      <c r="H34" s="31" t="str">
        <f>Таблица11[[#Headers],[МДФ]]</f>
        <v>МДФ</v>
      </c>
      <c r="I34" s="31" t="str">
        <f>Таблица11[[#Headers],[МДФ]]</f>
        <v>МДФ</v>
      </c>
      <c r="J34" s="31" t="str">
        <f>Таблица11[[#Headers],[МДФ]]</f>
        <v>МДФ</v>
      </c>
      <c r="K34" s="31"/>
    </row>
    <row r="35" spans="3:11">
      <c r="C35" s="31" t="s">
        <v>991</v>
      </c>
      <c r="D35" s="31" t="e">
        <f>1/0</f>
        <v>#DIV/0!</v>
      </c>
      <c r="E35" s="359"/>
      <c r="F35" s="359"/>
      <c r="G35" s="31" t="e">
        <f>1/0</f>
        <v>#DIV/0!</v>
      </c>
      <c r="H35" s="31"/>
      <c r="I35" s="31"/>
      <c r="J35" s="31"/>
      <c r="K35" s="31"/>
    </row>
    <row r="36" spans="3:11">
      <c r="C36" s="31" t="s">
        <v>744</v>
      </c>
      <c r="D36" s="358"/>
      <c r="E36" s="358"/>
      <c r="F36" s="359"/>
      <c r="G36" s="31" t="str">
        <f>Таблица11[[#Headers],[Винкожа_РФ]]</f>
        <v>Винкожа_РФ</v>
      </c>
      <c r="H36" s="31" t="str">
        <f>Таблица11[[#Headers],[Винкожа_РФ]]</f>
        <v>Винкожа_РФ</v>
      </c>
      <c r="I36" s="358"/>
      <c r="J36" s="358"/>
      <c r="K36" s="31"/>
    </row>
    <row r="37" spans="3:11">
      <c r="C37" s="31" t="s">
        <v>745</v>
      </c>
      <c r="D37" s="358"/>
      <c r="E37" s="359"/>
      <c r="F37" s="359"/>
      <c r="G37" s="31" t="str">
        <f>Таблица11[[#Headers],[Винкожа_Индия]]</f>
        <v>Винкожа_Индия</v>
      </c>
      <c r="H37" s="31" t="str">
        <f>Таблица11[[#Headers],[Винкожа_Индия]]</f>
        <v>Винкожа_Индия</v>
      </c>
      <c r="I37" s="358"/>
      <c r="J37" s="358"/>
      <c r="K37" s="31"/>
    </row>
    <row r="38" spans="3:11">
      <c r="C38" s="31" t="s">
        <v>751</v>
      </c>
      <c r="D38" s="358"/>
      <c r="E38" s="358"/>
      <c r="F38" s="359"/>
      <c r="G38" s="31" t="str">
        <f>Таблица11[[#Headers],[ДСП]]</f>
        <v>ДСП</v>
      </c>
      <c r="H38" s="31" t="str">
        <f>Таблица11[[#Headers],[ДСП]]</f>
        <v>ДСП</v>
      </c>
      <c r="I38" s="358"/>
      <c r="J38" s="358"/>
      <c r="K38" s="31"/>
    </row>
    <row r="39" spans="3:11">
      <c r="C39" s="31" t="s">
        <v>770</v>
      </c>
      <c r="D39" s="31" t="str">
        <f>Таблица11[[#Headers],[металл_]]</f>
        <v>металл_</v>
      </c>
      <c r="E39" s="31" t="str">
        <f>Таблица11[[#Headers],[металл_]]</f>
        <v>металл_</v>
      </c>
      <c r="F39" s="359"/>
      <c r="G39" s="359"/>
      <c r="H39" s="358"/>
      <c r="I39" s="358"/>
      <c r="J39" s="358"/>
      <c r="K39" s="31"/>
    </row>
    <row r="40" spans="3:11">
      <c r="C40" s="31" t="s">
        <v>771</v>
      </c>
      <c r="D40" s="358"/>
      <c r="E40" s="359"/>
      <c r="F40" s="359"/>
      <c r="G40" s="31" t="str">
        <f>Таблица11[[#Headers],[металл_]]</f>
        <v>металл_</v>
      </c>
      <c r="H40" s="31" t="str">
        <f>Таблица11[[#Headers],[металл_]]</f>
        <v>металл_</v>
      </c>
      <c r="I40" s="358"/>
      <c r="J40" s="358"/>
      <c r="K40" s="31"/>
    </row>
    <row r="41" spans="3:11">
      <c r="C41" s="31" t="s">
        <v>878</v>
      </c>
      <c r="D41" s="31"/>
      <c r="H41" s="31"/>
      <c r="I41" s="31"/>
      <c r="J41" s="31"/>
      <c r="K41" s="31" t="str">
        <f>Таблица11[[#Headers],[МДФ]]</f>
        <v>МДФ</v>
      </c>
    </row>
    <row r="42" spans="3:11">
      <c r="C42" s="31" t="s">
        <v>892</v>
      </c>
      <c r="D42" s="39" t="e">
        <f>1/0</f>
        <v>#DIV/0!</v>
      </c>
      <c r="E42" s="39" t="e">
        <f>1/0</f>
        <v>#DIV/0!</v>
      </c>
      <c r="F42" s="431"/>
      <c r="G42" s="39" t="e">
        <f>1/0</f>
        <v>#DIV/0!</v>
      </c>
      <c r="H42" s="431" t="str">
        <f>Таблица11[[#Headers],[МДФ_без_молд]]</f>
        <v>МДФ_без_молд</v>
      </c>
      <c r="I42" s="431" t="str">
        <f>Таблица11[[#Headers],[МДФ_без_молд]]</f>
        <v>МДФ_без_молд</v>
      </c>
      <c r="J42" s="431" t="str">
        <f>Таблица11[[#Headers],[МДФ_без_молд]]</f>
        <v>МДФ_без_молд</v>
      </c>
      <c r="K42" s="432"/>
    </row>
    <row r="43" spans="3:11">
      <c r="C43" s="31" t="s">
        <v>910</v>
      </c>
      <c r="D43" s="31"/>
      <c r="F43" s="431"/>
      <c r="H43" s="431" t="str">
        <f>Таблица11[[#Headers],[МДФ_без_молд]]</f>
        <v>МДФ_без_молд</v>
      </c>
      <c r="I43" s="431" t="str">
        <f>Таблица11[[#Headers],[МДФ_без_молд]]</f>
        <v>МДФ_без_молд</v>
      </c>
      <c r="J43" s="431" t="str">
        <f>Таблица11[[#Headers],[МДФ_без_молд]]</f>
        <v>МДФ_без_молд</v>
      </c>
      <c r="K43" s="31"/>
    </row>
    <row r="44" spans="3:11">
      <c r="C44" s="31" t="s">
        <v>940</v>
      </c>
      <c r="D44" s="31"/>
      <c r="H44" s="31"/>
      <c r="I44" s="31"/>
      <c r="J44" s="31"/>
      <c r="K44" s="478"/>
    </row>
    <row r="45" spans="3:11">
      <c r="C45" s="31" t="s">
        <v>941</v>
      </c>
      <c r="D45" s="31"/>
      <c r="H45" s="31"/>
      <c r="I45" s="31"/>
      <c r="J45" s="31"/>
      <c r="K45" s="478"/>
    </row>
    <row r="46" spans="3:11">
      <c r="C46" s="31" t="s">
        <v>971</v>
      </c>
      <c r="D46" s="31"/>
      <c r="F46" s="39" t="str">
        <f>Таблица11[[#Headers],[МДФ_без_молд]]</f>
        <v>МДФ_без_молд</v>
      </c>
      <c r="H46" s="31"/>
      <c r="I46" s="31"/>
      <c r="J46" s="31"/>
      <c r="K46" s="478"/>
    </row>
    <row r="47" spans="3:11">
      <c r="C47" s="31" t="s">
        <v>970</v>
      </c>
      <c r="D47" s="31"/>
      <c r="E47" s="39"/>
      <c r="F47" s="39" t="str">
        <f>Таблица11[[#Headers],[МДФ_без_молд]]</f>
        <v>МДФ_без_молд</v>
      </c>
      <c r="H47" s="31"/>
      <c r="I47" s="31"/>
      <c r="J47" s="31"/>
      <c r="K47" s="478"/>
    </row>
    <row r="48" spans="3:11">
      <c r="C48" s="31" t="s">
        <v>992</v>
      </c>
      <c r="D48" s="31"/>
      <c r="E48" s="39"/>
      <c r="F48" s="39"/>
      <c r="H48" s="31"/>
      <c r="I48" s="431" t="e">
        <f>1/0</f>
        <v>#DIV/0!</v>
      </c>
      <c r="J48" s="431" t="e">
        <f>1/0</f>
        <v>#DIV/0!</v>
      </c>
      <c r="K48" s="478"/>
    </row>
    <row r="49" spans="2:15">
      <c r="C49" s="31" t="s">
        <v>1015</v>
      </c>
      <c r="D49" s="31"/>
      <c r="E49" s="39"/>
      <c r="F49" s="39"/>
      <c r="H49" s="31"/>
      <c r="I49" s="31"/>
      <c r="J49" s="31"/>
      <c r="K49" s="478"/>
    </row>
    <row r="50" spans="2:15">
      <c r="B50" s="39"/>
      <c r="C50" s="40" t="s">
        <v>1043</v>
      </c>
      <c r="D50" s="31" t="e">
        <f t="shared" ref="D50:E53" si="0">1/0</f>
        <v>#DIV/0!</v>
      </c>
      <c r="E50" s="39" t="e">
        <f t="shared" si="0"/>
        <v>#DIV/0!</v>
      </c>
      <c r="F50" s="39" t="str">
        <f>Таблица11[[#Headers],[_МДФ]]</f>
        <v>_МДФ</v>
      </c>
      <c r="G50" s="550" t="e">
        <f t="shared" ref="G50:H53" si="1">1/0</f>
        <v>#DIV/0!</v>
      </c>
      <c r="H50" s="550" t="e">
        <f t="shared" si="1"/>
        <v>#DIV/0!</v>
      </c>
      <c r="I50" s="40" t="str">
        <f>Таблица11[[#Headers],[_МДФ]]</f>
        <v>_МДФ</v>
      </c>
      <c r="J50" s="40" t="str">
        <f>Таблица11[[#Headers],[_МДФ]]</f>
        <v>_МДФ</v>
      </c>
      <c r="K50" s="551"/>
      <c r="L50" s="39"/>
      <c r="O50" s="39"/>
    </row>
    <row r="51" spans="2:15">
      <c r="C51" s="40" t="s">
        <v>1044</v>
      </c>
      <c r="D51" s="31" t="e">
        <f t="shared" si="0"/>
        <v>#DIV/0!</v>
      </c>
      <c r="E51" s="39" t="e">
        <f t="shared" si="0"/>
        <v>#DIV/0!</v>
      </c>
      <c r="F51" s="39" t="str">
        <f>Таблица11[[#Headers],[_МДФ]]</f>
        <v>_МДФ</v>
      </c>
      <c r="G51" s="550" t="e">
        <f t="shared" si="1"/>
        <v>#DIV/0!</v>
      </c>
      <c r="H51" s="550" t="e">
        <f t="shared" si="1"/>
        <v>#DIV/0!</v>
      </c>
      <c r="I51" s="40" t="str">
        <f>Таблица11[[#Headers],[_МДФ]]</f>
        <v>_МДФ</v>
      </c>
      <c r="J51" s="40" t="str">
        <f>Таблица11[[#Headers],[_МДФ]]</f>
        <v>_МДФ</v>
      </c>
      <c r="K51" s="551"/>
    </row>
    <row r="52" spans="2:15">
      <c r="B52" s="39"/>
      <c r="C52" s="31" t="s">
        <v>1047</v>
      </c>
      <c r="D52" s="31" t="e">
        <f t="shared" si="0"/>
        <v>#DIV/0!</v>
      </c>
      <c r="E52" s="39" t="e">
        <f t="shared" si="0"/>
        <v>#DIV/0!</v>
      </c>
      <c r="F52" s="39" t="str">
        <f>Таблица11[[#Headers],[_МДФ]]</f>
        <v>_МДФ</v>
      </c>
      <c r="G52" s="550" t="e">
        <f t="shared" si="1"/>
        <v>#DIV/0!</v>
      </c>
      <c r="H52" s="550" t="e">
        <f t="shared" si="1"/>
        <v>#DIV/0!</v>
      </c>
      <c r="I52" s="550" t="e">
        <f>1/0</f>
        <v>#DIV/0!</v>
      </c>
      <c r="J52" s="550" t="e">
        <f>1/0</f>
        <v>#DIV/0!</v>
      </c>
      <c r="K52" s="478" t="s">
        <v>6</v>
      </c>
      <c r="L52" s="39"/>
      <c r="O52" s="39"/>
    </row>
    <row r="53" spans="2:15">
      <c r="B53" s="39"/>
      <c r="C53" s="31" t="s">
        <v>1048</v>
      </c>
      <c r="D53" s="31" t="e">
        <f t="shared" si="0"/>
        <v>#DIV/0!</v>
      </c>
      <c r="E53" s="39" t="e">
        <f t="shared" si="0"/>
        <v>#DIV/0!</v>
      </c>
      <c r="F53" s="39" t="str">
        <f>Таблица11[[#Headers],[_МДФ]]</f>
        <v>_МДФ</v>
      </c>
      <c r="G53" s="550" t="e">
        <f t="shared" si="1"/>
        <v>#DIV/0!</v>
      </c>
      <c r="H53" s="550" t="e">
        <f t="shared" si="1"/>
        <v>#DIV/0!</v>
      </c>
      <c r="I53" s="550" t="e">
        <f>1/0</f>
        <v>#DIV/0!</v>
      </c>
      <c r="J53" s="550" t="e">
        <f>1/0</f>
        <v>#DIV/0!</v>
      </c>
      <c r="K53" s="478" t="s">
        <v>6</v>
      </c>
      <c r="L53" s="39"/>
      <c r="O53" s="39"/>
    </row>
    <row r="54" spans="2:15">
      <c r="B54" s="39"/>
      <c r="C54" s="31" t="s">
        <v>1070</v>
      </c>
      <c r="D54" s="31"/>
      <c r="E54" s="39"/>
      <c r="F54" s="39"/>
      <c r="G54" s="39"/>
      <c r="H54" s="31"/>
      <c r="I54" s="31"/>
      <c r="J54" s="31"/>
      <c r="K54" s="478"/>
      <c r="L54" s="39"/>
      <c r="O54" s="39"/>
    </row>
    <row r="55" spans="2:15">
      <c r="B55" s="39"/>
      <c r="C55" s="31" t="s">
        <v>1603</v>
      </c>
      <c r="D55" s="31"/>
      <c r="E55" s="39"/>
      <c r="F55" s="39"/>
      <c r="G55" s="39"/>
      <c r="H55" s="31"/>
      <c r="I55" s="31"/>
      <c r="J55" s="31"/>
      <c r="K55" s="478"/>
      <c r="L55" s="39"/>
      <c r="O55" s="39"/>
    </row>
    <row r="56" spans="2:15">
      <c r="B56" s="39"/>
      <c r="C56" s="31" t="s">
        <v>1604</v>
      </c>
      <c r="D56" s="31"/>
      <c r="E56" s="39"/>
      <c r="F56" s="39"/>
      <c r="G56" s="39"/>
      <c r="H56" s="31"/>
      <c r="I56" s="31"/>
      <c r="J56" s="31"/>
      <c r="K56" s="478"/>
      <c r="L56" s="39"/>
      <c r="N56" s="39"/>
      <c r="O56" s="39"/>
    </row>
    <row r="60" spans="2:15" ht="19.5" thickBot="1">
      <c r="B60" s="347" t="s">
        <v>746</v>
      </c>
      <c r="J60" s="568"/>
    </row>
    <row r="61" spans="2:15">
      <c r="C61" s="355" t="s">
        <v>2</v>
      </c>
      <c r="D61" s="365" t="s">
        <v>427</v>
      </c>
      <c r="E61" s="451" t="s">
        <v>985</v>
      </c>
      <c r="F61" s="451" t="s">
        <v>6</v>
      </c>
      <c r="G61" s="365" t="s">
        <v>677</v>
      </c>
      <c r="H61" s="365" t="s">
        <v>344</v>
      </c>
      <c r="I61" s="365" t="s">
        <v>345</v>
      </c>
      <c r="J61" s="365" t="s">
        <v>101</v>
      </c>
      <c r="K61" s="355" t="s">
        <v>891</v>
      </c>
      <c r="L61" s="549" t="s">
        <v>1042</v>
      </c>
      <c r="M61" s="549" t="s">
        <v>1602</v>
      </c>
      <c r="N61" s="354" t="s">
        <v>764</v>
      </c>
      <c r="O61" s="355" t="s">
        <v>936</v>
      </c>
    </row>
    <row r="62" spans="2:15" ht="15.75" thickBot="1">
      <c r="C62" s="140"/>
      <c r="D62" s="108" t="s">
        <v>762</v>
      </c>
      <c r="E62" s="367" t="s">
        <v>432</v>
      </c>
      <c r="F62" s="367" t="s">
        <v>432</v>
      </c>
      <c r="G62" s="42" t="s">
        <v>781</v>
      </c>
      <c r="H62" t="s">
        <v>340</v>
      </c>
      <c r="I62" t="s">
        <v>339</v>
      </c>
      <c r="J62" s="54" t="s">
        <v>983</v>
      </c>
      <c r="K62" s="366" t="s">
        <v>435</v>
      </c>
      <c r="L62" s="39" t="s">
        <v>1000</v>
      </c>
      <c r="M62" s="39" t="s">
        <v>1605</v>
      </c>
      <c r="N62" s="108"/>
    </row>
    <row r="63" spans="2:15" ht="15.75" thickBot="1">
      <c r="C63" s="39"/>
      <c r="D63" s="108" t="s">
        <v>766</v>
      </c>
      <c r="E63" s="396" t="s">
        <v>1032</v>
      </c>
      <c r="F63" s="396" t="s">
        <v>1032</v>
      </c>
      <c r="G63" s="42" t="s">
        <v>782</v>
      </c>
      <c r="H63" t="s">
        <v>341</v>
      </c>
      <c r="I63" t="s">
        <v>336</v>
      </c>
      <c r="J63" s="54" t="s">
        <v>984</v>
      </c>
      <c r="K63" s="39" t="s">
        <v>1000</v>
      </c>
      <c r="L63" s="39" t="s">
        <v>995</v>
      </c>
      <c r="N63" s="109"/>
    </row>
    <row r="64" spans="2:15" ht="15.75" thickBot="1">
      <c r="C64" s="39"/>
      <c r="D64" s="140" t="s">
        <v>761</v>
      </c>
      <c r="E64" s="396" t="s">
        <v>1031</v>
      </c>
      <c r="F64" s="396" t="s">
        <v>1031</v>
      </c>
      <c r="G64" s="42"/>
      <c r="H64" s="39" t="s">
        <v>342</v>
      </c>
      <c r="I64" t="s">
        <v>337</v>
      </c>
      <c r="J64" s="54" t="s">
        <v>1627</v>
      </c>
      <c r="L64" s="39" t="s">
        <v>431</v>
      </c>
      <c r="N64" s="110"/>
    </row>
    <row r="65" spans="2:14" ht="15.75" thickBot="1">
      <c r="D65" s="108" t="s">
        <v>767</v>
      </c>
      <c r="E65" s="396" t="s">
        <v>832</v>
      </c>
      <c r="F65" s="396" t="s">
        <v>832</v>
      </c>
      <c r="G65" s="53"/>
      <c r="H65" s="39" t="s">
        <v>343</v>
      </c>
      <c r="I65" s="39" t="s">
        <v>338</v>
      </c>
      <c r="J65" s="45" t="s">
        <v>1626</v>
      </c>
      <c r="K65" s="396"/>
      <c r="L65" s="396"/>
      <c r="M65" s="685"/>
    </row>
    <row r="66" spans="2:14">
      <c r="D66" s="140" t="s">
        <v>763</v>
      </c>
      <c r="E66" s="620" t="s">
        <v>434</v>
      </c>
      <c r="F66" s="620" t="s">
        <v>434</v>
      </c>
      <c r="I66" s="153" t="s">
        <v>443</v>
      </c>
      <c r="J66" s="45" t="s">
        <v>1092</v>
      </c>
    </row>
    <row r="67" spans="2:14" ht="15.75" thickBot="1">
      <c r="D67" s="185" t="s">
        <v>768</v>
      </c>
      <c r="E67" s="366" t="s">
        <v>435</v>
      </c>
      <c r="F67" s="366" t="s">
        <v>435</v>
      </c>
      <c r="J67" s="45"/>
    </row>
    <row r="68" spans="2:14">
      <c r="E68" s="368" t="s">
        <v>431</v>
      </c>
      <c r="F68" s="368" t="s">
        <v>431</v>
      </c>
    </row>
    <row r="69" spans="2:14">
      <c r="B69" s="39"/>
      <c r="C69" s="39"/>
      <c r="D69" s="39"/>
      <c r="E69" s="368"/>
      <c r="F69" s="366"/>
      <c r="G69" s="39"/>
      <c r="H69" s="39"/>
      <c r="I69" s="39"/>
      <c r="J69" s="39"/>
      <c r="K69" s="39"/>
      <c r="N69" s="39"/>
    </row>
    <row r="70" spans="2:14">
      <c r="B70" s="39"/>
      <c r="C70" s="39"/>
      <c r="D70" s="39"/>
      <c r="E70" s="368"/>
      <c r="F70" s="368"/>
      <c r="G70" s="39"/>
      <c r="H70" s="39"/>
      <c r="I70" s="39"/>
      <c r="J70" s="39"/>
      <c r="K70" s="39"/>
      <c r="N70" s="39"/>
    </row>
    <row r="71" spans="2:14">
      <c r="C71" s="39"/>
      <c r="D71" s="39"/>
      <c r="E71" s="39"/>
      <c r="F71" s="39"/>
      <c r="G71" s="39"/>
      <c r="H71" s="39"/>
      <c r="I71" s="39"/>
      <c r="J71" s="39"/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L248"/>
  <sheetViews>
    <sheetView topLeftCell="A110" workbookViewId="0">
      <selection activeCell="C126" sqref="C126"/>
    </sheetView>
  </sheetViews>
  <sheetFormatPr defaultRowHeight="15"/>
  <cols>
    <col min="1" max="1" width="4" bestFit="1" customWidth="1"/>
    <col min="2" max="2" width="14.5703125" bestFit="1" customWidth="1"/>
    <col min="4" max="8" width="9.140625" style="39"/>
    <col min="10" max="11" width="9.140625" style="39"/>
    <col min="13" max="13" width="9.140625" style="39"/>
    <col min="14" max="14" width="14.7109375" customWidth="1"/>
    <col min="15" max="15" width="14.7109375" style="39" customWidth="1"/>
    <col min="16" max="16" width="6.140625" customWidth="1"/>
    <col min="17" max="17" width="4.7109375" style="39" customWidth="1"/>
    <col min="18" max="18" width="11.7109375" customWidth="1"/>
    <col min="19" max="19" width="1.5703125" customWidth="1"/>
    <col min="20" max="20" width="11.85546875" customWidth="1"/>
    <col min="21" max="21" width="11.85546875" style="39" customWidth="1"/>
    <col min="22" max="22" width="1.85546875" style="39" customWidth="1"/>
    <col min="23" max="23" width="11.85546875" style="39" customWidth="1"/>
    <col min="26" max="26" width="9.140625" style="39"/>
    <col min="28" max="28" width="9.140625" style="39"/>
    <col min="29" max="29" width="11.85546875" customWidth="1"/>
    <col min="30" max="30" width="11.85546875" style="39" customWidth="1"/>
    <col min="32" max="35" width="9.140625" style="39"/>
  </cols>
  <sheetData>
    <row r="1" spans="1:38" ht="16.5" thickBot="1">
      <c r="B1" t="s">
        <v>286</v>
      </c>
      <c r="C1" t="s">
        <v>285</v>
      </c>
      <c r="D1" s="39" t="s">
        <v>480</v>
      </c>
      <c r="E1" s="39" t="s">
        <v>1127</v>
      </c>
      <c r="F1" s="39" t="s">
        <v>1128</v>
      </c>
      <c r="G1" s="39" t="s">
        <v>1129</v>
      </c>
      <c r="H1" s="39" t="s">
        <v>1190</v>
      </c>
      <c r="I1" t="s">
        <v>309</v>
      </c>
      <c r="J1" s="39" t="s">
        <v>310</v>
      </c>
      <c r="K1" s="39" t="s">
        <v>311</v>
      </c>
      <c r="L1" t="s">
        <v>307</v>
      </c>
      <c r="M1" s="39" t="s">
        <v>617</v>
      </c>
      <c r="N1" s="44" t="s">
        <v>1094</v>
      </c>
      <c r="O1" s="44" t="s">
        <v>1093</v>
      </c>
      <c r="P1" s="339" t="s">
        <v>481</v>
      </c>
      <c r="T1" s="488" t="s">
        <v>947</v>
      </c>
    </row>
    <row r="2" spans="1:38">
      <c r="A2" s="43">
        <v>1</v>
      </c>
      <c r="B2" s="43" t="s">
        <v>102</v>
      </c>
      <c r="C2" s="43" t="s">
        <v>103</v>
      </c>
      <c r="D2" s="43" t="s">
        <v>477</v>
      </c>
      <c r="E2" s="43" t="s">
        <v>1161</v>
      </c>
      <c r="F2" s="43" t="s">
        <v>1163</v>
      </c>
      <c r="G2" s="43" t="s">
        <v>1167</v>
      </c>
      <c r="H2" s="43" t="s">
        <v>1177</v>
      </c>
      <c r="I2" s="43" t="s">
        <v>104</v>
      </c>
      <c r="J2" s="43" t="s">
        <v>91</v>
      </c>
      <c r="K2" s="43" t="s">
        <v>116</v>
      </c>
      <c r="L2" s="51" t="s">
        <v>464</v>
      </c>
      <c r="M2" s="51" t="s">
        <v>775</v>
      </c>
      <c r="N2" s="51" t="s">
        <v>504</v>
      </c>
      <c r="O2" s="51" t="s">
        <v>957</v>
      </c>
      <c r="T2" s="31" t="s">
        <v>810</v>
      </c>
      <c r="U2" s="40" t="s">
        <v>811</v>
      </c>
      <c r="V2" s="40"/>
      <c r="W2" s="557" t="s">
        <v>996</v>
      </c>
      <c r="X2" s="552" t="s">
        <v>286</v>
      </c>
      <c r="Y2" s="552" t="s">
        <v>285</v>
      </c>
      <c r="Z2" s="552" t="s">
        <v>480</v>
      </c>
      <c r="AA2" s="552" t="s">
        <v>307</v>
      </c>
      <c r="AB2" s="552" t="s">
        <v>617</v>
      </c>
      <c r="AC2" s="552" t="str">
        <f>$N$1</f>
        <v>Зеркало_под_МДФ</v>
      </c>
      <c r="AD2" s="552" t="str">
        <f>$O$1</f>
        <v>зеркало_на_МДФ</v>
      </c>
      <c r="AE2" s="552" t="s">
        <v>481</v>
      </c>
      <c r="AF2" s="552"/>
      <c r="AG2" s="552"/>
      <c r="AH2" s="552"/>
      <c r="AI2" s="552"/>
      <c r="AK2" s="552"/>
      <c r="AL2" s="553"/>
    </row>
    <row r="3" spans="1:38" ht="15.75" thickBot="1">
      <c r="A3" s="43">
        <f>A2+1</f>
        <v>2</v>
      </c>
      <c r="B3" s="43" t="s">
        <v>106</v>
      </c>
      <c r="C3" s="43" t="s">
        <v>107</v>
      </c>
      <c r="D3" s="43" t="s">
        <v>478</v>
      </c>
      <c r="E3" s="43" t="s">
        <v>1151</v>
      </c>
      <c r="F3" s="43" t="s">
        <v>1153</v>
      </c>
      <c r="G3" s="43" t="s">
        <v>1157</v>
      </c>
      <c r="H3" s="43" t="s">
        <v>1178</v>
      </c>
      <c r="I3" s="43" t="s">
        <v>120</v>
      </c>
      <c r="J3" s="43" t="s">
        <v>112</v>
      </c>
      <c r="K3" s="43" t="s">
        <v>155</v>
      </c>
      <c r="L3" s="51" t="s">
        <v>465</v>
      </c>
      <c r="M3" s="51" t="s">
        <v>213</v>
      </c>
      <c r="N3" s="51" t="s">
        <v>505</v>
      </c>
      <c r="O3" s="51" t="s">
        <v>989</v>
      </c>
      <c r="T3" s="31" t="s">
        <v>432</v>
      </c>
      <c r="U3" s="40" t="s">
        <v>284</v>
      </c>
      <c r="V3" s="40"/>
      <c r="W3" s="558" t="s">
        <v>997</v>
      </c>
      <c r="X3" s="43" t="s">
        <v>286</v>
      </c>
      <c r="Y3" s="43" t="s">
        <v>285</v>
      </c>
      <c r="Z3" s="43" t="s">
        <v>480</v>
      </c>
      <c r="AA3" s="43" t="s">
        <v>307</v>
      </c>
      <c r="AB3" s="43" t="s">
        <v>617</v>
      </c>
      <c r="AC3" s="43" t="str">
        <f t="shared" ref="AC3:AC10" si="0">$N$1</f>
        <v>Зеркало_под_МДФ</v>
      </c>
      <c r="AD3" s="43" t="str">
        <f t="shared" ref="AD3:AD10" si="1">$O$1</f>
        <v>зеркало_на_МДФ</v>
      </c>
      <c r="AE3" s="43" t="s">
        <v>481</v>
      </c>
      <c r="AF3" s="43"/>
      <c r="AG3" s="43"/>
      <c r="AH3" s="43"/>
      <c r="AI3" s="43"/>
      <c r="AK3" s="43"/>
      <c r="AL3" s="554"/>
    </row>
    <row r="4" spans="1:38" ht="15.75" thickBot="1">
      <c r="A4" s="43">
        <f t="shared" ref="A4:A42" si="2">A3+1</f>
        <v>3</v>
      </c>
      <c r="B4" s="43" t="s">
        <v>110</v>
      </c>
      <c r="C4" s="43" t="s">
        <v>111</v>
      </c>
      <c r="D4" s="153" t="s">
        <v>794</v>
      </c>
      <c r="E4" s="43" t="s">
        <v>1162</v>
      </c>
      <c r="F4" s="43" t="s">
        <v>1164</v>
      </c>
      <c r="G4" s="43" t="s">
        <v>1168</v>
      </c>
      <c r="H4" s="43" t="s">
        <v>1172</v>
      </c>
      <c r="I4" s="43" t="s">
        <v>124</v>
      </c>
      <c r="J4" s="48" t="s">
        <v>143</v>
      </c>
      <c r="K4" s="43" t="s">
        <v>503</v>
      </c>
      <c r="L4" s="51" t="s">
        <v>466</v>
      </c>
      <c r="M4" s="51" t="s">
        <v>137</v>
      </c>
      <c r="N4" s="51" t="s">
        <v>957</v>
      </c>
      <c r="O4" s="51" t="s">
        <v>990</v>
      </c>
      <c r="R4" s="127" t="s">
        <v>105</v>
      </c>
      <c r="T4" s="31" t="s">
        <v>433</v>
      </c>
      <c r="U4" s="40" t="s">
        <v>284</v>
      </c>
      <c r="V4" s="40"/>
      <c r="W4" s="558" t="s">
        <v>1037</v>
      </c>
      <c r="X4" s="43" t="s">
        <v>286</v>
      </c>
      <c r="Y4" s="43" t="s">
        <v>285</v>
      </c>
      <c r="Z4" s="43" t="s">
        <v>480</v>
      </c>
      <c r="AA4" s="43" t="s">
        <v>307</v>
      </c>
      <c r="AB4" s="43" t="s">
        <v>617</v>
      </c>
      <c r="AC4" s="43" t="str">
        <f t="shared" si="0"/>
        <v>Зеркало_под_МДФ</v>
      </c>
      <c r="AD4" s="43" t="str">
        <f t="shared" si="1"/>
        <v>зеркало_на_МДФ</v>
      </c>
      <c r="AE4" s="628" t="s">
        <v>1127</v>
      </c>
      <c r="AF4" s="628" t="s">
        <v>1128</v>
      </c>
      <c r="AG4" s="628" t="s">
        <v>1129</v>
      </c>
      <c r="AH4" s="43" t="s">
        <v>481</v>
      </c>
      <c r="AI4" s="43"/>
      <c r="AK4" s="43"/>
      <c r="AL4" s="554"/>
    </row>
    <row r="5" spans="1:38" ht="15.75" thickBot="1">
      <c r="A5" s="43">
        <f t="shared" si="2"/>
        <v>4</v>
      </c>
      <c r="B5" s="43" t="s">
        <v>114</v>
      </c>
      <c r="C5" s="43" t="s">
        <v>115</v>
      </c>
      <c r="D5" s="43" t="s">
        <v>703</v>
      </c>
      <c r="E5" s="43" t="s">
        <v>1152</v>
      </c>
      <c r="F5" s="43" t="s">
        <v>1154</v>
      </c>
      <c r="G5" s="43" t="s">
        <v>1158</v>
      </c>
      <c r="H5" s="43" t="s">
        <v>1173</v>
      </c>
      <c r="I5" s="43" t="s">
        <v>128</v>
      </c>
      <c r="J5" s="48" t="s">
        <v>146</v>
      </c>
      <c r="K5" s="43" t="s">
        <v>160</v>
      </c>
      <c r="L5" s="51" t="s">
        <v>467</v>
      </c>
      <c r="M5" s="51" t="s">
        <v>522</v>
      </c>
      <c r="N5" s="51" t="s">
        <v>702</v>
      </c>
      <c r="O5" s="318" t="s">
        <v>655</v>
      </c>
      <c r="R5" s="127" t="s">
        <v>108</v>
      </c>
      <c r="T5" s="31" t="s">
        <v>1032</v>
      </c>
      <c r="U5" s="40" t="s">
        <v>1191</v>
      </c>
      <c r="V5" s="40"/>
      <c r="W5" s="558" t="s">
        <v>1038</v>
      </c>
      <c r="X5" s="43" t="s">
        <v>286</v>
      </c>
      <c r="Y5" s="43" t="s">
        <v>285</v>
      </c>
      <c r="Z5" s="43" t="s">
        <v>480</v>
      </c>
      <c r="AA5" s="43" t="s">
        <v>307</v>
      </c>
      <c r="AB5" s="43" t="s">
        <v>617</v>
      </c>
      <c r="AC5" s="43" t="str">
        <f t="shared" si="0"/>
        <v>Зеркало_под_МДФ</v>
      </c>
      <c r="AD5" s="43" t="str">
        <f t="shared" si="1"/>
        <v>зеркало_на_МДФ</v>
      </c>
      <c r="AE5" s="628" t="s">
        <v>1127</v>
      </c>
      <c r="AF5" s="628" t="s">
        <v>1128</v>
      </c>
      <c r="AG5" s="628" t="s">
        <v>1129</v>
      </c>
      <c r="AH5" s="43" t="s">
        <v>481</v>
      </c>
      <c r="AI5" s="43"/>
      <c r="AK5" s="43"/>
      <c r="AL5" s="554"/>
    </row>
    <row r="6" spans="1:38" ht="15.75" thickBot="1">
      <c r="A6" s="43">
        <f t="shared" si="2"/>
        <v>5</v>
      </c>
      <c r="B6" s="48" t="s">
        <v>118</v>
      </c>
      <c r="C6" s="43" t="s">
        <v>119</v>
      </c>
      <c r="D6" s="43" t="s">
        <v>887</v>
      </c>
      <c r="E6" s="43"/>
      <c r="F6" s="43" t="s">
        <v>1165</v>
      </c>
      <c r="G6" s="43" t="s">
        <v>1169</v>
      </c>
      <c r="H6" s="43"/>
      <c r="I6" s="43" t="s">
        <v>131</v>
      </c>
      <c r="J6" s="43" t="s">
        <v>149</v>
      </c>
      <c r="K6" s="43" t="s">
        <v>163</v>
      </c>
      <c r="L6" s="51" t="s">
        <v>468</v>
      </c>
      <c r="M6" s="372" t="s">
        <v>521</v>
      </c>
      <c r="N6" s="51" t="s">
        <v>793</v>
      </c>
      <c r="O6" s="51" t="s">
        <v>793</v>
      </c>
      <c r="R6" s="127" t="s">
        <v>113</v>
      </c>
      <c r="T6" s="31" t="s">
        <v>1031</v>
      </c>
      <c r="U6" s="40" t="s">
        <v>1191</v>
      </c>
      <c r="V6" s="40"/>
      <c r="W6" s="558" t="s">
        <v>998</v>
      </c>
      <c r="X6" s="43" t="s">
        <v>286</v>
      </c>
      <c r="Y6" s="43" t="s">
        <v>285</v>
      </c>
      <c r="Z6" s="43" t="s">
        <v>480</v>
      </c>
      <c r="AA6" s="43" t="s">
        <v>307</v>
      </c>
      <c r="AB6" s="43" t="s">
        <v>617</v>
      </c>
      <c r="AC6" s="43" t="str">
        <f t="shared" si="0"/>
        <v>Зеркало_под_МДФ</v>
      </c>
      <c r="AD6" s="43" t="str">
        <f t="shared" si="1"/>
        <v>зеркало_на_МДФ</v>
      </c>
      <c r="AE6" s="628" t="s">
        <v>1127</v>
      </c>
      <c r="AF6" s="628" t="s">
        <v>1128</v>
      </c>
      <c r="AG6" s="628" t="s">
        <v>1129</v>
      </c>
      <c r="AH6" s="628" t="s">
        <v>1190</v>
      </c>
      <c r="AI6" s="43" t="s">
        <v>309</v>
      </c>
      <c r="AJ6" s="43" t="s">
        <v>310</v>
      </c>
      <c r="AK6" s="43" t="s">
        <v>311</v>
      </c>
      <c r="AL6" s="554" t="s">
        <v>481</v>
      </c>
    </row>
    <row r="7" spans="1:38" ht="15.75" thickBot="1">
      <c r="A7" s="43">
        <f t="shared" si="2"/>
        <v>6</v>
      </c>
      <c r="B7" s="43" t="s">
        <v>122</v>
      </c>
      <c r="C7" s="43" t="s">
        <v>123</v>
      </c>
      <c r="D7" s="43"/>
      <c r="E7" s="43"/>
      <c r="F7" s="43" t="s">
        <v>1155</v>
      </c>
      <c r="G7" s="43" t="s">
        <v>1159</v>
      </c>
      <c r="H7" s="43"/>
      <c r="I7" s="43" t="s">
        <v>135</v>
      </c>
      <c r="J7" s="43" t="s">
        <v>152</v>
      </c>
      <c r="K7" s="43" t="s">
        <v>166</v>
      </c>
      <c r="L7" s="51" t="s">
        <v>469</v>
      </c>
      <c r="M7" s="51" t="s">
        <v>616</v>
      </c>
      <c r="N7" s="51" t="s">
        <v>1174</v>
      </c>
      <c r="O7" s="153"/>
      <c r="R7" s="127" t="s">
        <v>117</v>
      </c>
      <c r="T7" s="31" t="s">
        <v>832</v>
      </c>
      <c r="U7" s="40" t="s">
        <v>812</v>
      </c>
      <c r="V7" s="40"/>
      <c r="W7" s="559" t="s">
        <v>999</v>
      </c>
      <c r="X7" s="43" t="s">
        <v>286</v>
      </c>
      <c r="Y7" s="43" t="s">
        <v>285</v>
      </c>
      <c r="Z7" s="43" t="s">
        <v>480</v>
      </c>
      <c r="AA7" s="43" t="s">
        <v>307</v>
      </c>
      <c r="AB7" s="43" t="s">
        <v>617</v>
      </c>
      <c r="AC7" s="43" t="str">
        <f t="shared" si="0"/>
        <v>Зеркало_под_МДФ</v>
      </c>
      <c r="AD7" s="43" t="str">
        <f t="shared" si="1"/>
        <v>зеркало_на_МДФ</v>
      </c>
      <c r="AE7" s="628" t="s">
        <v>1127</v>
      </c>
      <c r="AF7" s="628" t="s">
        <v>1128</v>
      </c>
      <c r="AG7" s="628" t="s">
        <v>1129</v>
      </c>
      <c r="AH7" s="628" t="s">
        <v>1190</v>
      </c>
      <c r="AI7" s="43" t="s">
        <v>309</v>
      </c>
      <c r="AJ7" s="43" t="s">
        <v>310</v>
      </c>
      <c r="AK7" s="43" t="s">
        <v>311</v>
      </c>
      <c r="AL7" s="554" t="s">
        <v>481</v>
      </c>
    </row>
    <row r="8" spans="1:38" ht="15.75" thickBot="1">
      <c r="A8" s="43">
        <f t="shared" si="2"/>
        <v>7</v>
      </c>
      <c r="B8" s="43" t="s">
        <v>126</v>
      </c>
      <c r="C8" s="43" t="s">
        <v>127</v>
      </c>
      <c r="D8" s="43"/>
      <c r="E8" s="43"/>
      <c r="F8" s="43" t="s">
        <v>1166</v>
      </c>
      <c r="G8" s="43" t="s">
        <v>1170</v>
      </c>
      <c r="H8" s="43"/>
      <c r="I8" s="48" t="s">
        <v>140</v>
      </c>
      <c r="J8" s="46" t="s">
        <v>707</v>
      </c>
      <c r="K8" s="43" t="s">
        <v>169</v>
      </c>
      <c r="L8" s="51" t="s">
        <v>470</v>
      </c>
      <c r="M8" s="51" t="s">
        <v>780</v>
      </c>
      <c r="N8" s="51" t="s">
        <v>1175</v>
      </c>
      <c r="O8" s="318"/>
      <c r="R8" s="127" t="s">
        <v>121</v>
      </c>
      <c r="T8" s="31" t="s">
        <v>833</v>
      </c>
      <c r="U8" s="40" t="s">
        <v>812</v>
      </c>
      <c r="V8" s="40"/>
      <c r="W8" s="559" t="s">
        <v>1000</v>
      </c>
      <c r="X8" s="43" t="s">
        <v>286</v>
      </c>
      <c r="Y8" s="43" t="s">
        <v>285</v>
      </c>
      <c r="Z8" s="43" t="s">
        <v>480</v>
      </c>
      <c r="AA8" s="43" t="s">
        <v>307</v>
      </c>
      <c r="AB8" s="43" t="s">
        <v>617</v>
      </c>
      <c r="AC8" s="43" t="str">
        <f t="shared" si="0"/>
        <v>Зеркало_под_МДФ</v>
      </c>
      <c r="AD8" s="43" t="str">
        <f t="shared" si="1"/>
        <v>зеркало_на_МДФ</v>
      </c>
      <c r="AE8" s="628" t="s">
        <v>1127</v>
      </c>
      <c r="AF8" s="628" t="s">
        <v>1128</v>
      </c>
      <c r="AG8" s="628" t="s">
        <v>1129</v>
      </c>
      <c r="AH8" s="628" t="s">
        <v>1190</v>
      </c>
      <c r="AI8" s="43" t="s">
        <v>309</v>
      </c>
      <c r="AJ8" s="43" t="s">
        <v>310</v>
      </c>
      <c r="AK8" s="43" t="s">
        <v>311</v>
      </c>
      <c r="AL8" s="554" t="s">
        <v>481</v>
      </c>
    </row>
    <row r="9" spans="1:38" ht="15.75" thickBot="1">
      <c r="A9" s="43">
        <f t="shared" si="2"/>
        <v>8</v>
      </c>
      <c r="B9" s="50" t="s">
        <v>129</v>
      </c>
      <c r="C9" s="43" t="s">
        <v>130</v>
      </c>
      <c r="D9" s="40"/>
      <c r="E9" s="40"/>
      <c r="F9" s="43" t="s">
        <v>1156</v>
      </c>
      <c r="G9" s="43" t="s">
        <v>1160</v>
      </c>
      <c r="H9" s="40"/>
      <c r="J9" s="46" t="s">
        <v>787</v>
      </c>
      <c r="K9" s="43" t="s">
        <v>172</v>
      </c>
      <c r="L9" s="51" t="s">
        <v>471</v>
      </c>
      <c r="M9" s="372" t="s">
        <v>788</v>
      </c>
      <c r="N9" s="372" t="s">
        <v>109</v>
      </c>
      <c r="R9" s="127" t="s">
        <v>125</v>
      </c>
      <c r="T9" s="31" t="s">
        <v>434</v>
      </c>
      <c r="U9" s="40" t="s">
        <v>812</v>
      </c>
      <c r="V9" s="40"/>
      <c r="W9" s="559" t="s">
        <v>995</v>
      </c>
      <c r="X9" s="43" t="s">
        <v>286</v>
      </c>
      <c r="Y9" s="43" t="s">
        <v>285</v>
      </c>
      <c r="Z9" s="43" t="s">
        <v>480</v>
      </c>
      <c r="AA9" s="43" t="s">
        <v>307</v>
      </c>
      <c r="AB9" s="43" t="s">
        <v>617</v>
      </c>
      <c r="AC9" s="43" t="str">
        <f t="shared" si="0"/>
        <v>Зеркало_под_МДФ</v>
      </c>
      <c r="AD9" s="43" t="str">
        <f t="shared" si="1"/>
        <v>зеркало_на_МДФ</v>
      </c>
      <c r="AE9" s="628" t="s">
        <v>1127</v>
      </c>
      <c r="AF9" s="628" t="s">
        <v>1128</v>
      </c>
      <c r="AG9" s="628" t="s">
        <v>1129</v>
      </c>
      <c r="AH9" s="628" t="s">
        <v>1190</v>
      </c>
      <c r="AI9" s="43" t="s">
        <v>309</v>
      </c>
      <c r="AJ9" s="43" t="s">
        <v>310</v>
      </c>
      <c r="AK9" s="43" t="s">
        <v>311</v>
      </c>
      <c r="AL9" s="554" t="s">
        <v>481</v>
      </c>
    </row>
    <row r="10" spans="1:38" ht="15.75" thickBot="1">
      <c r="A10" s="43">
        <f t="shared" si="2"/>
        <v>9</v>
      </c>
      <c r="B10" s="50" t="s">
        <v>133</v>
      </c>
      <c r="C10" s="43" t="s">
        <v>134</v>
      </c>
      <c r="D10" s="40"/>
      <c r="E10" s="40"/>
      <c r="F10" s="43" t="s">
        <v>1183</v>
      </c>
      <c r="G10" s="43"/>
      <c r="H10" s="40"/>
      <c r="J10" s="40"/>
      <c r="K10" s="43" t="s">
        <v>175</v>
      </c>
      <c r="L10" s="51" t="s">
        <v>472</v>
      </c>
      <c r="R10" s="124" t="s">
        <v>95</v>
      </c>
      <c r="T10" s="28" t="s">
        <v>435</v>
      </c>
      <c r="U10" s="40" t="s">
        <v>812</v>
      </c>
      <c r="V10" s="40"/>
      <c r="W10" s="559" t="s">
        <v>1049</v>
      </c>
      <c r="X10" s="555" t="s">
        <v>286</v>
      </c>
      <c r="Y10" s="555" t="s">
        <v>285</v>
      </c>
      <c r="Z10" s="555" t="s">
        <v>480</v>
      </c>
      <c r="AA10" s="555" t="s">
        <v>307</v>
      </c>
      <c r="AB10" s="555" t="s">
        <v>617</v>
      </c>
      <c r="AC10" s="555" t="str">
        <f t="shared" si="0"/>
        <v>Зеркало_под_МДФ</v>
      </c>
      <c r="AD10" s="555" t="str">
        <f t="shared" si="1"/>
        <v>зеркало_на_МДФ</v>
      </c>
      <c r="AE10" s="628" t="s">
        <v>1127</v>
      </c>
      <c r="AF10" s="628" t="s">
        <v>1128</v>
      </c>
      <c r="AG10" s="628" t="s">
        <v>1129</v>
      </c>
      <c r="AH10" s="628" t="s">
        <v>1190</v>
      </c>
      <c r="AI10" s="555" t="s">
        <v>309</v>
      </c>
      <c r="AJ10" s="555" t="s">
        <v>310</v>
      </c>
      <c r="AK10" s="555" t="s">
        <v>311</v>
      </c>
      <c r="AL10" s="556" t="s">
        <v>481</v>
      </c>
    </row>
    <row r="11" spans="1:38" ht="15.75" thickBot="1">
      <c r="A11" s="43">
        <f t="shared" si="2"/>
        <v>10</v>
      </c>
      <c r="B11" s="50" t="s">
        <v>138</v>
      </c>
      <c r="C11" s="43" t="s">
        <v>139</v>
      </c>
      <c r="D11" s="40"/>
      <c r="E11" s="40"/>
      <c r="F11" s="43" t="s">
        <v>1184</v>
      </c>
      <c r="G11" s="43"/>
      <c r="H11" s="40"/>
      <c r="J11" s="48"/>
      <c r="K11" s="43" t="s">
        <v>178</v>
      </c>
      <c r="L11" s="51" t="s">
        <v>473</v>
      </c>
      <c r="M11" s="153"/>
      <c r="R11" s="124" t="s">
        <v>132</v>
      </c>
      <c r="T11" s="28" t="s">
        <v>860</v>
      </c>
      <c r="U11" s="40" t="s">
        <v>812</v>
      </c>
      <c r="V11" s="40"/>
      <c r="W11" s="559"/>
      <c r="X11" s="43"/>
      <c r="Y11" s="43"/>
      <c r="Z11" s="43"/>
      <c r="AA11" s="43"/>
      <c r="AB11" s="43"/>
      <c r="AC11" s="43"/>
      <c r="AD11" s="43"/>
      <c r="AE11" s="43"/>
      <c r="AF11" s="532"/>
      <c r="AG11" s="532"/>
      <c r="AH11" s="532"/>
      <c r="AI11" s="532"/>
      <c r="AJ11" s="43"/>
      <c r="AK11" s="43"/>
      <c r="AL11" s="554"/>
    </row>
    <row r="12" spans="1:38">
      <c r="A12" s="43">
        <f t="shared" si="2"/>
        <v>11</v>
      </c>
      <c r="B12" s="50" t="s">
        <v>141</v>
      </c>
      <c r="C12" s="43" t="s">
        <v>145</v>
      </c>
      <c r="D12" s="40"/>
      <c r="E12" s="40"/>
      <c r="F12" s="43" t="s">
        <v>1210</v>
      </c>
      <c r="G12" s="40"/>
      <c r="H12" s="40"/>
      <c r="J12" s="48"/>
      <c r="K12" s="48"/>
      <c r="L12" s="51" t="s">
        <v>499</v>
      </c>
      <c r="M12" s="153"/>
      <c r="R12" s="124" t="s">
        <v>136</v>
      </c>
      <c r="T12" s="31" t="s">
        <v>376</v>
      </c>
      <c r="U12" s="40" t="s">
        <v>813</v>
      </c>
      <c r="V12" s="40"/>
    </row>
    <row r="13" spans="1:38">
      <c r="A13" s="43">
        <f t="shared" si="2"/>
        <v>12</v>
      </c>
      <c r="B13" s="50" t="s">
        <v>144</v>
      </c>
      <c r="C13" s="43" t="s">
        <v>148</v>
      </c>
      <c r="D13" s="40"/>
      <c r="E13" s="40"/>
      <c r="F13" s="43" t="s">
        <v>1211</v>
      </c>
      <c r="G13" s="40"/>
      <c r="H13" s="40"/>
      <c r="J13" s="48"/>
      <c r="K13" s="48"/>
      <c r="L13" s="51" t="s">
        <v>483</v>
      </c>
      <c r="M13" s="153"/>
      <c r="T13" s="31" t="s">
        <v>762</v>
      </c>
      <c r="U13" s="40" t="s">
        <v>813</v>
      </c>
      <c r="V13" s="40"/>
      <c r="W13" s="40"/>
      <c r="AE13" s="40"/>
      <c r="AF13" s="40"/>
      <c r="AG13" s="40"/>
      <c r="AH13" s="40"/>
    </row>
    <row r="14" spans="1:38">
      <c r="A14" s="43">
        <f t="shared" si="2"/>
        <v>13</v>
      </c>
      <c r="B14" s="50" t="s">
        <v>147</v>
      </c>
      <c r="C14" s="48" t="s">
        <v>151</v>
      </c>
      <c r="D14" s="102"/>
      <c r="E14" s="102"/>
      <c r="F14" s="102"/>
      <c r="G14" s="102"/>
      <c r="H14" s="102"/>
      <c r="J14" s="43"/>
      <c r="K14" s="43"/>
      <c r="L14" s="51" t="s">
        <v>484</v>
      </c>
      <c r="M14" s="153"/>
      <c r="T14" s="31" t="s">
        <v>769</v>
      </c>
      <c r="U14" s="40" t="s">
        <v>813</v>
      </c>
      <c r="AE14" s="40"/>
      <c r="AF14" s="40"/>
      <c r="AG14" s="40"/>
      <c r="AH14" s="40"/>
    </row>
    <row r="15" spans="1:38">
      <c r="A15" s="43">
        <f t="shared" si="2"/>
        <v>14</v>
      </c>
      <c r="B15" s="50" t="s">
        <v>150</v>
      </c>
      <c r="C15" s="43" t="s">
        <v>154</v>
      </c>
      <c r="D15" s="40"/>
      <c r="E15" s="40"/>
      <c r="F15" s="40"/>
      <c r="G15" s="40"/>
      <c r="H15" s="40"/>
      <c r="J15" s="43"/>
      <c r="K15" s="43"/>
      <c r="L15" s="39" t="s">
        <v>474</v>
      </c>
      <c r="T15" s="31" t="str">
        <f>База!F4</f>
        <v>1,2 мм.</v>
      </c>
      <c r="U15" s="40" t="s">
        <v>813</v>
      </c>
      <c r="AE15" s="40"/>
      <c r="AF15" s="40"/>
      <c r="AG15" s="40"/>
      <c r="AH15" s="40"/>
    </row>
    <row r="16" spans="1:38">
      <c r="A16" s="43">
        <f t="shared" si="2"/>
        <v>15</v>
      </c>
      <c r="B16" s="50" t="s">
        <v>153</v>
      </c>
      <c r="C16" s="43" t="s">
        <v>157</v>
      </c>
      <c r="D16" s="40"/>
      <c r="E16" s="40"/>
      <c r="F16" s="40"/>
      <c r="G16" s="40"/>
      <c r="H16" s="40"/>
      <c r="J16" s="43"/>
      <c r="K16" s="43"/>
      <c r="L16" s="39" t="s">
        <v>475</v>
      </c>
      <c r="T16" s="31" t="s">
        <v>763</v>
      </c>
      <c r="U16" s="40" t="s">
        <v>813</v>
      </c>
      <c r="AE16" s="40"/>
      <c r="AF16" s="40"/>
      <c r="AG16" s="40"/>
      <c r="AH16" s="40"/>
    </row>
    <row r="17" spans="1:34">
      <c r="A17" s="43">
        <f t="shared" si="2"/>
        <v>16</v>
      </c>
      <c r="B17" s="50" t="s">
        <v>156</v>
      </c>
      <c r="C17" s="50" t="s">
        <v>159</v>
      </c>
      <c r="D17" s="153"/>
      <c r="E17" s="153"/>
      <c r="F17" s="153"/>
      <c r="G17" s="153"/>
      <c r="H17" s="153"/>
      <c r="J17" s="43"/>
      <c r="K17" s="43"/>
      <c r="L17" s="51" t="s">
        <v>447</v>
      </c>
      <c r="M17" s="153"/>
      <c r="T17" s="31"/>
      <c r="AE17" s="40"/>
      <c r="AF17" s="40"/>
      <c r="AG17" s="40"/>
      <c r="AH17" s="40"/>
    </row>
    <row r="18" spans="1:34">
      <c r="A18" s="43">
        <f t="shared" si="2"/>
        <v>17</v>
      </c>
      <c r="B18" s="50" t="s">
        <v>158</v>
      </c>
      <c r="C18" s="43" t="s">
        <v>162</v>
      </c>
      <c r="D18" s="40"/>
      <c r="E18" s="40"/>
      <c r="F18" s="40"/>
      <c r="G18" s="40"/>
      <c r="H18" s="40"/>
      <c r="J18" s="43"/>
      <c r="K18" s="43"/>
      <c r="L18" s="51" t="s">
        <v>449</v>
      </c>
      <c r="M18" s="153"/>
    </row>
    <row r="19" spans="1:34">
      <c r="A19" s="43">
        <f t="shared" si="2"/>
        <v>18</v>
      </c>
      <c r="B19" s="50" t="s">
        <v>161</v>
      </c>
      <c r="C19" s="43" t="s">
        <v>165</v>
      </c>
      <c r="D19" s="40"/>
      <c r="E19" s="40"/>
      <c r="F19" s="40"/>
      <c r="G19" s="40"/>
      <c r="H19" s="40"/>
      <c r="J19" s="43"/>
      <c r="K19" s="43"/>
      <c r="L19" s="51" t="s">
        <v>450</v>
      </c>
      <c r="M19" s="153"/>
    </row>
    <row r="20" spans="1:34">
      <c r="A20" s="43">
        <f t="shared" si="2"/>
        <v>19</v>
      </c>
      <c r="B20" s="50" t="s">
        <v>164</v>
      </c>
      <c r="C20" s="51" t="s">
        <v>168</v>
      </c>
      <c r="D20" s="153"/>
      <c r="E20" s="153"/>
      <c r="F20" s="153"/>
      <c r="G20" s="153"/>
      <c r="H20" s="153"/>
      <c r="J20" s="43"/>
      <c r="K20" s="43"/>
      <c r="L20" s="51" t="s">
        <v>452</v>
      </c>
      <c r="M20" s="153"/>
    </row>
    <row r="21" spans="1:34">
      <c r="A21" s="43">
        <f t="shared" si="2"/>
        <v>20</v>
      </c>
      <c r="B21" s="50" t="s">
        <v>167</v>
      </c>
      <c r="C21" s="51" t="s">
        <v>171</v>
      </c>
      <c r="D21" s="153"/>
      <c r="E21" s="153"/>
      <c r="F21" s="153"/>
      <c r="G21" s="153"/>
      <c r="H21" s="153"/>
      <c r="J21" s="40"/>
      <c r="K21" s="40"/>
      <c r="L21" s="51" t="s">
        <v>451</v>
      </c>
      <c r="M21" s="153"/>
      <c r="W21"/>
      <c r="X21" s="39"/>
      <c r="AA21" t="s">
        <v>857</v>
      </c>
      <c r="AB21" t="e">
        <f>MATCH(Бланк!M9,Таблица14[[#Headers],[В_полотне]:[В_нержаве]],0)</f>
        <v>#N/A</v>
      </c>
    </row>
    <row r="22" spans="1:34" ht="15.75" thickBot="1">
      <c r="A22" s="43">
        <f t="shared" si="2"/>
        <v>21</v>
      </c>
      <c r="B22" s="50" t="s">
        <v>170</v>
      </c>
      <c r="C22" s="51" t="s">
        <v>174</v>
      </c>
      <c r="D22" s="153"/>
      <c r="E22" s="153"/>
      <c r="F22" s="153"/>
      <c r="G22" s="153"/>
      <c r="H22" s="153"/>
      <c r="J22" s="40"/>
      <c r="K22" s="40"/>
      <c r="L22" s="51" t="s">
        <v>453</v>
      </c>
      <c r="M22" s="153"/>
      <c r="W22"/>
      <c r="X22" s="39"/>
      <c r="AA22" s="39" t="s">
        <v>858</v>
      </c>
      <c r="AB22" s="39" t="e">
        <f>MATCH(Бланк!M25,Таблица14[[#Headers],[В_полотне]:[В_нержаве]],0)</f>
        <v>#N/A</v>
      </c>
    </row>
    <row r="23" spans="1:34">
      <c r="A23" s="43">
        <f t="shared" si="2"/>
        <v>22</v>
      </c>
      <c r="B23" s="50" t="s">
        <v>173</v>
      </c>
      <c r="C23" s="51" t="s">
        <v>177</v>
      </c>
      <c r="D23" s="153"/>
      <c r="E23" s="153"/>
      <c r="F23" s="153"/>
      <c r="G23" s="153"/>
      <c r="H23" s="153"/>
      <c r="J23" s="40"/>
      <c r="K23" s="40"/>
      <c r="L23" s="51" t="s">
        <v>454</v>
      </c>
      <c r="M23" s="153"/>
      <c r="W23" s="377" t="s">
        <v>800</v>
      </c>
      <c r="X23" s="377" t="s">
        <v>805</v>
      </c>
      <c r="AA23" s="39" t="s">
        <v>859</v>
      </c>
      <c r="AB23" s="39" t="e">
        <f>MATCH(Бланк!M41,Таблица14[[#Headers],[В_полотне]:[В_нержаве]],0)</f>
        <v>#N/A</v>
      </c>
    </row>
    <row r="24" spans="1:34" ht="16.5" thickBot="1">
      <c r="A24" s="43">
        <f t="shared" si="2"/>
        <v>23</v>
      </c>
      <c r="B24" s="50" t="s">
        <v>176</v>
      </c>
      <c r="C24" s="51" t="s">
        <v>180</v>
      </c>
      <c r="D24" s="153"/>
      <c r="E24" s="153"/>
      <c r="F24" s="153"/>
      <c r="G24" s="153"/>
      <c r="H24" s="153"/>
      <c r="J24" s="40"/>
      <c r="K24" s="40"/>
      <c r="L24" s="51" t="s">
        <v>458</v>
      </c>
      <c r="M24" s="153"/>
      <c r="W24" s="30" t="s">
        <v>807</v>
      </c>
      <c r="X24" s="376" t="s">
        <v>806</v>
      </c>
      <c r="AA24" s="488" t="s">
        <v>1145</v>
      </c>
    </row>
    <row r="25" spans="1:34" ht="15.75" thickBot="1">
      <c r="A25" s="43">
        <f t="shared" si="2"/>
        <v>24</v>
      </c>
      <c r="B25" s="50" t="s">
        <v>179</v>
      </c>
      <c r="C25" s="51" t="s">
        <v>526</v>
      </c>
      <c r="D25" s="153"/>
      <c r="E25" s="153"/>
      <c r="F25" s="153"/>
      <c r="G25" s="153"/>
      <c r="H25" s="153"/>
      <c r="I25" s="39"/>
      <c r="L25" s="51" t="s">
        <v>993</v>
      </c>
      <c r="M25" s="153"/>
      <c r="W25" s="35" t="s">
        <v>801</v>
      </c>
      <c r="X25" s="76" t="s">
        <v>803</v>
      </c>
      <c r="AA25" s="35" t="s">
        <v>814</v>
      </c>
      <c r="AB25" s="30" t="s">
        <v>807</v>
      </c>
      <c r="AC25" s="376" t="s">
        <v>806</v>
      </c>
    </row>
    <row r="26" spans="1:34">
      <c r="A26" s="43">
        <f t="shared" si="2"/>
        <v>25</v>
      </c>
      <c r="B26" s="50" t="s">
        <v>181</v>
      </c>
      <c r="C26" s="51" t="s">
        <v>4</v>
      </c>
      <c r="D26" s="51"/>
      <c r="E26" s="51"/>
      <c r="F26" s="51"/>
      <c r="G26" s="51"/>
      <c r="H26" s="51"/>
      <c r="I26" s="43"/>
      <c r="J26" s="40"/>
      <c r="K26" s="40"/>
      <c r="L26" s="51" t="s">
        <v>994</v>
      </c>
      <c r="M26" s="153"/>
      <c r="W26" s="32" t="s">
        <v>802</v>
      </c>
      <c r="X26" s="42" t="s">
        <v>804</v>
      </c>
      <c r="AA26" s="35" t="s">
        <v>801</v>
      </c>
      <c r="AB26" s="39">
        <v>20</v>
      </c>
      <c r="AC26" s="39" t="e">
        <f>1/0</f>
        <v>#DIV/0!</v>
      </c>
    </row>
    <row r="27" spans="1:34">
      <c r="A27" s="43">
        <f t="shared" si="2"/>
        <v>26</v>
      </c>
      <c r="B27" s="50" t="s">
        <v>182</v>
      </c>
      <c r="C27" s="51" t="s">
        <v>183</v>
      </c>
      <c r="D27" s="51"/>
      <c r="E27" s="51"/>
      <c r="F27" s="51"/>
      <c r="G27" s="51"/>
      <c r="H27" s="51"/>
      <c r="I27" s="43"/>
      <c r="J27" s="40"/>
      <c r="K27" s="40"/>
      <c r="L27" s="51" t="s">
        <v>444</v>
      </c>
      <c r="M27" s="153"/>
      <c r="W27" s="32" t="s">
        <v>866</v>
      </c>
      <c r="X27" s="32" t="s">
        <v>890</v>
      </c>
      <c r="AA27" s="32" t="s">
        <v>802</v>
      </c>
      <c r="AB27" s="39">
        <v>25</v>
      </c>
      <c r="AC27" s="39" t="e">
        <f>1/0</f>
        <v>#DIV/0!</v>
      </c>
    </row>
    <row r="28" spans="1:34">
      <c r="A28" s="43">
        <f t="shared" si="2"/>
        <v>27</v>
      </c>
      <c r="B28" s="50" t="s">
        <v>184</v>
      </c>
      <c r="C28" s="51" t="s">
        <v>502</v>
      </c>
      <c r="D28" s="51"/>
      <c r="E28" s="51"/>
      <c r="F28" s="51"/>
      <c r="G28" s="51"/>
      <c r="H28" s="51"/>
      <c r="I28" s="43"/>
      <c r="J28" s="40"/>
      <c r="K28" s="40"/>
      <c r="L28" s="51" t="s">
        <v>445</v>
      </c>
      <c r="M28" s="153"/>
      <c r="W28" s="32" t="s">
        <v>1059</v>
      </c>
      <c r="X28" s="32" t="s">
        <v>1144</v>
      </c>
      <c r="AA28" s="32" t="s">
        <v>866</v>
      </c>
      <c r="AB28" s="39">
        <v>25</v>
      </c>
      <c r="AC28" s="39"/>
    </row>
    <row r="29" spans="1:34" ht="15.75" thickBot="1">
      <c r="A29" s="43">
        <f t="shared" si="2"/>
        <v>28</v>
      </c>
      <c r="B29" s="50" t="s">
        <v>186</v>
      </c>
      <c r="C29" s="51" t="s">
        <v>185</v>
      </c>
      <c r="D29" s="51"/>
      <c r="E29" s="51"/>
      <c r="F29" s="51"/>
      <c r="G29" s="51"/>
      <c r="H29" s="51"/>
      <c r="I29" s="43"/>
      <c r="J29" s="40"/>
      <c r="K29" s="40"/>
      <c r="L29" s="51" t="s">
        <v>783</v>
      </c>
      <c r="M29" s="153"/>
      <c r="W29" s="32"/>
      <c r="X29" s="32" t="s">
        <v>1215</v>
      </c>
      <c r="AA29" s="32" t="s">
        <v>890</v>
      </c>
      <c r="AC29" s="39">
        <v>30</v>
      </c>
    </row>
    <row r="30" spans="1:34">
      <c r="A30" s="43">
        <f t="shared" si="2"/>
        <v>29</v>
      </c>
      <c r="B30" s="50" t="s">
        <v>187</v>
      </c>
      <c r="C30" s="51" t="s">
        <v>188</v>
      </c>
      <c r="D30" s="51"/>
      <c r="E30" s="51"/>
      <c r="F30" s="51"/>
      <c r="G30" s="51"/>
      <c r="H30" s="51"/>
      <c r="I30" s="43"/>
      <c r="J30" s="40"/>
      <c r="K30" s="40"/>
      <c r="L30" s="51" t="s">
        <v>784</v>
      </c>
      <c r="M30" s="153"/>
      <c r="W30" s="32"/>
      <c r="X30" s="31"/>
      <c r="AA30" s="76" t="s">
        <v>803</v>
      </c>
      <c r="AB30" s="39" t="e">
        <f>1/0</f>
        <v>#DIV/0!</v>
      </c>
      <c r="AC30" s="39">
        <v>50</v>
      </c>
    </row>
    <row r="31" spans="1:34">
      <c r="A31" s="43">
        <f t="shared" si="2"/>
        <v>30</v>
      </c>
      <c r="B31" s="50" t="s">
        <v>189</v>
      </c>
      <c r="C31" s="51" t="s">
        <v>191</v>
      </c>
      <c r="D31" s="153"/>
      <c r="E31" s="153"/>
      <c r="F31" s="153"/>
      <c r="G31" s="153"/>
      <c r="H31" s="153"/>
      <c r="I31" s="39"/>
      <c r="L31" s="51" t="s">
        <v>785</v>
      </c>
      <c r="M31" s="153"/>
      <c r="W31" s="32"/>
      <c r="X31" s="31"/>
      <c r="AA31" s="42" t="s">
        <v>804</v>
      </c>
      <c r="AB31" s="39" t="e">
        <f>1/0</f>
        <v>#DIV/0!</v>
      </c>
      <c r="AC31" s="39">
        <v>60</v>
      </c>
    </row>
    <row r="32" spans="1:34">
      <c r="A32" s="43">
        <f t="shared" si="2"/>
        <v>31</v>
      </c>
      <c r="B32" s="50" t="s">
        <v>605</v>
      </c>
      <c r="C32" s="51" t="s">
        <v>193</v>
      </c>
      <c r="D32" s="153"/>
      <c r="E32" s="153"/>
      <c r="F32" s="153"/>
      <c r="G32" s="153"/>
      <c r="H32" s="153"/>
      <c r="I32" s="39"/>
      <c r="L32" s="51" t="s">
        <v>786</v>
      </c>
      <c r="M32" s="153"/>
      <c r="W32" s="32"/>
      <c r="X32" s="31"/>
      <c r="AA32" t="s">
        <v>1144</v>
      </c>
      <c r="AB32" s="39" t="e">
        <f>1/0</f>
        <v>#DIV/0!</v>
      </c>
      <c r="AC32" s="39">
        <v>5</v>
      </c>
    </row>
    <row r="33" spans="1:29">
      <c r="A33" s="43">
        <f t="shared" si="2"/>
        <v>32</v>
      </c>
      <c r="B33" s="50" t="s">
        <v>190</v>
      </c>
      <c r="C33" s="51" t="s">
        <v>195</v>
      </c>
      <c r="D33" s="153"/>
      <c r="E33" s="153"/>
      <c r="F33" s="153"/>
      <c r="G33" s="153"/>
      <c r="H33" s="153"/>
      <c r="I33" s="39"/>
      <c r="L33" s="51" t="s">
        <v>656</v>
      </c>
      <c r="M33" s="153"/>
      <c r="W33" s="32"/>
      <c r="X33" s="31"/>
      <c r="AA33" t="s">
        <v>1059</v>
      </c>
      <c r="AB33" s="39">
        <v>23</v>
      </c>
      <c r="AC33" s="39" t="e">
        <f>1/0</f>
        <v>#DIV/0!</v>
      </c>
    </row>
    <row r="34" spans="1:29">
      <c r="A34" s="43">
        <f t="shared" si="2"/>
        <v>33</v>
      </c>
      <c r="B34" s="50" t="s">
        <v>192</v>
      </c>
      <c r="C34" s="51" t="s">
        <v>197</v>
      </c>
      <c r="D34" s="153"/>
      <c r="E34" s="153"/>
      <c r="F34" s="153"/>
      <c r="G34" s="153"/>
      <c r="H34" s="153"/>
      <c r="I34" s="39"/>
      <c r="L34" s="51" t="s">
        <v>455</v>
      </c>
      <c r="M34" s="153"/>
      <c r="W34" s="32"/>
      <c r="X34" s="31"/>
      <c r="AA34" t="s">
        <v>1215</v>
      </c>
      <c r="AC34" s="39">
        <v>40</v>
      </c>
    </row>
    <row r="35" spans="1:29">
      <c r="A35" s="43">
        <f t="shared" si="2"/>
        <v>34</v>
      </c>
      <c r="B35" s="50" t="s">
        <v>194</v>
      </c>
      <c r="C35" s="51" t="s">
        <v>199</v>
      </c>
      <c r="D35" s="153"/>
      <c r="E35" s="153"/>
      <c r="F35" s="153"/>
      <c r="G35" s="153"/>
      <c r="H35" s="153"/>
      <c r="I35" s="39"/>
      <c r="L35" s="51" t="s">
        <v>459</v>
      </c>
      <c r="M35" s="153"/>
      <c r="W35" s="32"/>
      <c r="X35" s="31"/>
      <c r="AC35" s="39"/>
    </row>
    <row r="36" spans="1:29">
      <c r="A36" s="43">
        <f t="shared" si="2"/>
        <v>35</v>
      </c>
      <c r="B36" s="50" t="s">
        <v>777</v>
      </c>
      <c r="C36" s="51" t="s">
        <v>200</v>
      </c>
      <c r="D36" s="153"/>
      <c r="E36" s="153"/>
      <c r="F36" s="153"/>
      <c r="G36" s="153"/>
      <c r="H36" s="153"/>
      <c r="I36" s="39"/>
      <c r="L36" s="51" t="s">
        <v>456</v>
      </c>
      <c r="M36" s="153"/>
      <c r="W36" s="32"/>
      <c r="X36" s="31"/>
      <c r="AC36" s="39"/>
    </row>
    <row r="37" spans="1:29" ht="15.75" thickBot="1">
      <c r="A37" s="43">
        <f t="shared" si="2"/>
        <v>36</v>
      </c>
      <c r="B37" s="50" t="s">
        <v>778</v>
      </c>
      <c r="C37" s="51" t="s">
        <v>202</v>
      </c>
      <c r="D37" s="153"/>
      <c r="E37" s="153"/>
      <c r="F37" s="153"/>
      <c r="G37" s="153"/>
      <c r="H37" s="153"/>
      <c r="I37" s="39"/>
      <c r="L37" s="51" t="s">
        <v>448</v>
      </c>
      <c r="M37" s="153"/>
      <c r="W37" s="30"/>
      <c r="X37" s="28"/>
      <c r="AC37" s="39"/>
    </row>
    <row r="38" spans="1:29">
      <c r="A38" s="43">
        <f>A37+1</f>
        <v>37</v>
      </c>
      <c r="B38" s="50" t="s">
        <v>836</v>
      </c>
      <c r="C38" s="51" t="s">
        <v>831</v>
      </c>
      <c r="D38" s="153"/>
      <c r="E38" s="153"/>
      <c r="F38" s="153"/>
      <c r="G38" s="153"/>
      <c r="H38" s="153"/>
      <c r="I38" s="39"/>
      <c r="L38" s="51" t="s">
        <v>457</v>
      </c>
      <c r="M38" s="153"/>
      <c r="W38"/>
      <c r="AC38" s="39"/>
    </row>
    <row r="39" spans="1:29">
      <c r="A39" s="43">
        <f t="shared" si="2"/>
        <v>38</v>
      </c>
      <c r="B39" s="50" t="s">
        <v>837</v>
      </c>
      <c r="C39" s="51" t="s">
        <v>203</v>
      </c>
      <c r="D39" s="153"/>
      <c r="E39" s="153"/>
      <c r="F39" s="153"/>
      <c r="G39" s="153"/>
      <c r="H39" s="153"/>
      <c r="I39" s="39"/>
      <c r="L39" s="51" t="s">
        <v>772</v>
      </c>
      <c r="M39" s="153"/>
      <c r="W39"/>
      <c r="X39" s="39"/>
      <c r="AC39" s="39"/>
    </row>
    <row r="40" spans="1:29">
      <c r="A40" s="43">
        <f t="shared" si="2"/>
        <v>39</v>
      </c>
      <c r="B40" s="50" t="s">
        <v>838</v>
      </c>
      <c r="C40" s="51" t="s">
        <v>205</v>
      </c>
      <c r="D40" s="153"/>
      <c r="E40" s="153"/>
      <c r="F40" s="153"/>
      <c r="G40" s="153"/>
      <c r="H40" s="153"/>
      <c r="I40" s="39"/>
      <c r="L40" s="51" t="s">
        <v>514</v>
      </c>
      <c r="M40" s="153"/>
      <c r="W40"/>
      <c r="X40" s="39"/>
      <c r="AC40" s="39"/>
    </row>
    <row r="41" spans="1:29">
      <c r="A41" s="43">
        <f t="shared" si="2"/>
        <v>40</v>
      </c>
      <c r="B41" s="50" t="s">
        <v>839</v>
      </c>
      <c r="C41" s="51" t="s">
        <v>207</v>
      </c>
      <c r="D41" s="153"/>
      <c r="E41" s="153"/>
      <c r="F41" s="153"/>
      <c r="G41" s="153"/>
      <c r="H41" s="153"/>
      <c r="I41" s="39"/>
      <c r="L41" s="51" t="s">
        <v>515</v>
      </c>
      <c r="M41" s="153"/>
      <c r="W41"/>
      <c r="X41" s="39"/>
      <c r="AC41" s="39"/>
    </row>
    <row r="42" spans="1:29">
      <c r="A42" s="43">
        <f t="shared" si="2"/>
        <v>41</v>
      </c>
      <c r="B42" s="50" t="s">
        <v>834</v>
      </c>
      <c r="C42" s="51" t="s">
        <v>209</v>
      </c>
      <c r="D42" s="153"/>
      <c r="E42" s="153"/>
      <c r="F42" s="153"/>
      <c r="G42" s="153"/>
      <c r="H42" s="153"/>
      <c r="I42" s="39"/>
      <c r="L42" s="51" t="s">
        <v>516</v>
      </c>
      <c r="W42"/>
      <c r="X42" s="39"/>
    </row>
    <row r="43" spans="1:29">
      <c r="A43" s="43">
        <f t="shared" ref="A43:A68" si="3">A42+1</f>
        <v>42</v>
      </c>
      <c r="B43" s="50" t="s">
        <v>948</v>
      </c>
      <c r="C43" s="51" t="s">
        <v>211</v>
      </c>
      <c r="D43" s="153"/>
      <c r="E43" s="153"/>
      <c r="F43" s="153"/>
      <c r="G43" s="153"/>
      <c r="H43" s="153"/>
      <c r="I43" s="39"/>
      <c r="L43" s="51" t="s">
        <v>517</v>
      </c>
    </row>
    <row r="44" spans="1:29">
      <c r="A44" s="43">
        <f t="shared" si="3"/>
        <v>43</v>
      </c>
      <c r="B44" s="50" t="s">
        <v>949</v>
      </c>
      <c r="C44" s="51" t="s">
        <v>215</v>
      </c>
      <c r="D44" s="153"/>
      <c r="E44" s="153"/>
      <c r="F44" s="153"/>
      <c r="G44" s="153"/>
      <c r="H44" s="153"/>
      <c r="I44" s="39"/>
      <c r="L44" s="51" t="s">
        <v>518</v>
      </c>
    </row>
    <row r="45" spans="1:29" s="39" customFormat="1">
      <c r="A45" s="43">
        <f t="shared" si="3"/>
        <v>44</v>
      </c>
      <c r="B45" s="50" t="s">
        <v>950</v>
      </c>
      <c r="C45" s="51" t="s">
        <v>217</v>
      </c>
      <c r="D45" s="153"/>
      <c r="E45" s="153"/>
      <c r="F45" s="153"/>
      <c r="G45" s="153"/>
      <c r="H45" s="153"/>
      <c r="L45" s="51" t="s">
        <v>519</v>
      </c>
      <c r="T45"/>
      <c r="AC45"/>
    </row>
    <row r="46" spans="1:29">
      <c r="A46" s="43">
        <f t="shared" si="3"/>
        <v>45</v>
      </c>
      <c r="B46" s="50" t="s">
        <v>951</v>
      </c>
      <c r="C46" s="51" t="s">
        <v>708</v>
      </c>
      <c r="D46" s="40"/>
      <c r="E46" s="40"/>
      <c r="F46" s="40"/>
      <c r="G46" s="40"/>
      <c r="H46" s="40"/>
      <c r="I46" s="39"/>
      <c r="L46" s="51" t="s">
        <v>823</v>
      </c>
      <c r="AC46" s="39"/>
    </row>
    <row r="47" spans="1:29">
      <c r="A47" s="43">
        <f t="shared" si="3"/>
        <v>46</v>
      </c>
      <c r="B47" s="50" t="s">
        <v>952</v>
      </c>
      <c r="C47" s="51" t="s">
        <v>842</v>
      </c>
      <c r="D47" s="40"/>
      <c r="E47" s="40"/>
      <c r="F47" s="40"/>
      <c r="G47" s="40"/>
      <c r="H47" s="40"/>
      <c r="I47" s="39"/>
      <c r="L47" s="51" t="s">
        <v>824</v>
      </c>
    </row>
    <row r="48" spans="1:29">
      <c r="A48" s="43">
        <f t="shared" si="3"/>
        <v>47</v>
      </c>
      <c r="B48" s="51" t="s">
        <v>623</v>
      </c>
      <c r="C48" s="51" t="s">
        <v>888</v>
      </c>
      <c r="D48" s="40"/>
      <c r="E48" s="40"/>
      <c r="F48" s="40"/>
      <c r="G48" s="40"/>
      <c r="H48" s="40"/>
      <c r="I48" s="39"/>
      <c r="L48" s="51" t="s">
        <v>775</v>
      </c>
    </row>
    <row r="49" spans="1:20">
      <c r="A49" s="43">
        <f t="shared" si="3"/>
        <v>48</v>
      </c>
      <c r="B49" s="51" t="s">
        <v>196</v>
      </c>
      <c r="C49" s="51" t="s">
        <v>953</v>
      </c>
      <c r="L49" s="51" t="s">
        <v>825</v>
      </c>
    </row>
    <row r="50" spans="1:20">
      <c r="A50" s="43">
        <f t="shared" si="3"/>
        <v>49</v>
      </c>
      <c r="B50" s="51" t="s">
        <v>198</v>
      </c>
      <c r="C50" s="51" t="s">
        <v>1188</v>
      </c>
      <c r="D50" s="40"/>
      <c r="E50" s="40"/>
      <c r="F50" s="40"/>
      <c r="G50" s="40"/>
      <c r="H50" s="40"/>
      <c r="L50" s="51" t="s">
        <v>826</v>
      </c>
    </row>
    <row r="51" spans="1:20">
      <c r="A51" s="43">
        <f t="shared" si="3"/>
        <v>50</v>
      </c>
      <c r="B51" s="51" t="s">
        <v>490</v>
      </c>
      <c r="C51" s="51" t="s">
        <v>1189</v>
      </c>
      <c r="D51" s="40"/>
      <c r="E51" s="40"/>
      <c r="F51" s="40"/>
      <c r="G51" s="40"/>
      <c r="H51" s="40"/>
      <c r="L51" s="51" t="s">
        <v>1355</v>
      </c>
    </row>
    <row r="52" spans="1:20">
      <c r="A52" s="43">
        <f t="shared" si="3"/>
        <v>51</v>
      </c>
      <c r="B52" s="43" t="s">
        <v>500</v>
      </c>
      <c r="C52" s="51" t="s">
        <v>219</v>
      </c>
      <c r="D52" s="153"/>
      <c r="E52" s="153"/>
      <c r="F52" s="153"/>
      <c r="G52" s="153"/>
      <c r="H52" s="153"/>
      <c r="L52" s="51" t="s">
        <v>657</v>
      </c>
      <c r="T52" s="39"/>
    </row>
    <row r="53" spans="1:20">
      <c r="A53" s="43">
        <f t="shared" si="3"/>
        <v>52</v>
      </c>
      <c r="B53" s="43" t="s">
        <v>201</v>
      </c>
      <c r="C53" s="43" t="s">
        <v>221</v>
      </c>
      <c r="D53" s="40"/>
      <c r="E53" s="40"/>
      <c r="F53" s="40"/>
      <c r="G53" s="40"/>
      <c r="H53" s="40"/>
      <c r="I53" s="39"/>
      <c r="L53" s="51" t="s">
        <v>658</v>
      </c>
    </row>
    <row r="54" spans="1:20">
      <c r="A54" s="43">
        <f t="shared" si="3"/>
        <v>53</v>
      </c>
      <c r="B54" s="43" t="s">
        <v>754</v>
      </c>
      <c r="C54" s="43" t="s">
        <v>223</v>
      </c>
      <c r="D54" s="40"/>
      <c r="E54" s="40"/>
      <c r="F54" s="40"/>
      <c r="G54" s="40"/>
      <c r="H54" s="40"/>
      <c r="I54" s="39"/>
      <c r="L54" s="51" t="s">
        <v>659</v>
      </c>
    </row>
    <row r="55" spans="1:20">
      <c r="A55" s="43">
        <f t="shared" si="3"/>
        <v>54</v>
      </c>
      <c r="B55" s="43" t="s">
        <v>755</v>
      </c>
      <c r="C55" s="43" t="s">
        <v>225</v>
      </c>
      <c r="D55" s="40"/>
      <c r="E55" s="40"/>
      <c r="F55" s="40"/>
      <c r="G55" s="40"/>
      <c r="H55" s="40"/>
      <c r="I55" s="39"/>
      <c r="L55" s="51" t="s">
        <v>660</v>
      </c>
    </row>
    <row r="56" spans="1:20">
      <c r="A56" s="43">
        <f t="shared" si="3"/>
        <v>55</v>
      </c>
      <c r="B56" s="43" t="s">
        <v>204</v>
      </c>
      <c r="C56" s="43" t="s">
        <v>227</v>
      </c>
      <c r="D56" s="40"/>
      <c r="E56" s="40"/>
      <c r="F56" s="40"/>
      <c r="G56" s="40"/>
      <c r="H56" s="40"/>
      <c r="I56" s="39"/>
      <c r="L56" s="51" t="s">
        <v>661</v>
      </c>
    </row>
    <row r="57" spans="1:20">
      <c r="A57" s="43">
        <f t="shared" si="3"/>
        <v>56</v>
      </c>
      <c r="B57" s="43" t="s">
        <v>206</v>
      </c>
      <c r="C57" s="43" t="s">
        <v>479</v>
      </c>
      <c r="D57" s="40"/>
      <c r="E57" s="40"/>
      <c r="F57" s="40"/>
      <c r="G57" s="40"/>
      <c r="H57" s="40"/>
      <c r="L57" s="51" t="s">
        <v>662</v>
      </c>
    </row>
    <row r="58" spans="1:20">
      <c r="A58" s="43">
        <f t="shared" si="3"/>
        <v>57</v>
      </c>
      <c r="B58" s="46" t="s">
        <v>606</v>
      </c>
      <c r="C58" s="43" t="s">
        <v>231</v>
      </c>
      <c r="D58" s="40"/>
      <c r="E58" s="40"/>
      <c r="F58" s="40"/>
      <c r="G58" s="40"/>
      <c r="H58" s="40"/>
      <c r="L58" s="51" t="s">
        <v>663</v>
      </c>
    </row>
    <row r="59" spans="1:20">
      <c r="A59" s="43">
        <f t="shared" si="3"/>
        <v>58</v>
      </c>
      <c r="B59" s="51" t="s">
        <v>208</v>
      </c>
      <c r="C59" s="43" t="s">
        <v>233</v>
      </c>
      <c r="D59" s="40"/>
      <c r="E59" s="40"/>
      <c r="F59" s="40"/>
      <c r="G59" s="40"/>
      <c r="H59" s="40"/>
      <c r="L59" s="51" t="s">
        <v>664</v>
      </c>
    </row>
    <row r="60" spans="1:20">
      <c r="A60" s="43">
        <f t="shared" si="3"/>
        <v>59</v>
      </c>
      <c r="B60" s="43" t="s">
        <v>210</v>
      </c>
      <c r="C60" s="43" t="s">
        <v>234</v>
      </c>
      <c r="D60" s="40"/>
      <c r="E60" s="40"/>
      <c r="F60" s="40"/>
      <c r="G60" s="40"/>
      <c r="H60" s="40"/>
      <c r="L60" s="51" t="s">
        <v>665</v>
      </c>
    </row>
    <row r="61" spans="1:20">
      <c r="A61" s="43">
        <f t="shared" si="3"/>
        <v>60</v>
      </c>
      <c r="B61" s="43" t="s">
        <v>212</v>
      </c>
      <c r="C61" s="43" t="s">
        <v>236</v>
      </c>
      <c r="D61" s="40"/>
      <c r="E61" s="40"/>
      <c r="F61" s="40"/>
      <c r="G61" s="40"/>
      <c r="H61" s="40"/>
      <c r="L61" s="51" t="s">
        <v>666</v>
      </c>
    </row>
    <row r="62" spans="1:20">
      <c r="A62" s="43">
        <f t="shared" si="3"/>
        <v>61</v>
      </c>
      <c r="B62" s="43" t="s">
        <v>214</v>
      </c>
      <c r="C62" s="43" t="s">
        <v>238</v>
      </c>
      <c r="D62" s="40"/>
      <c r="E62" s="40"/>
      <c r="F62" s="40"/>
      <c r="G62" s="40"/>
      <c r="H62" s="40"/>
      <c r="L62" s="51" t="s">
        <v>774</v>
      </c>
    </row>
    <row r="63" spans="1:20">
      <c r="A63" s="43">
        <f t="shared" si="3"/>
        <v>62</v>
      </c>
      <c r="B63" s="43" t="s">
        <v>216</v>
      </c>
      <c r="C63" s="43" t="s">
        <v>240</v>
      </c>
      <c r="D63" s="40"/>
      <c r="E63" s="40"/>
      <c r="F63" s="40"/>
      <c r="G63" s="40"/>
      <c r="H63" s="40"/>
      <c r="L63" s="51" t="s">
        <v>776</v>
      </c>
    </row>
    <row r="64" spans="1:20">
      <c r="A64" s="43">
        <f t="shared" si="3"/>
        <v>63</v>
      </c>
      <c r="B64" s="51" t="s">
        <v>218</v>
      </c>
      <c r="C64" s="43" t="s">
        <v>241</v>
      </c>
      <c r="D64" s="40"/>
      <c r="E64" s="40"/>
      <c r="F64" s="40"/>
      <c r="G64" s="40"/>
      <c r="H64" s="40"/>
      <c r="L64" s="51" t="s">
        <v>789</v>
      </c>
    </row>
    <row r="65" spans="1:12">
      <c r="A65" s="43">
        <f t="shared" si="3"/>
        <v>64</v>
      </c>
      <c r="B65" s="43" t="s">
        <v>220</v>
      </c>
      <c r="C65" s="43" t="s">
        <v>142</v>
      </c>
      <c r="D65" s="40"/>
      <c r="E65" s="40"/>
      <c r="F65" s="40"/>
      <c r="G65" s="40"/>
      <c r="H65" s="40"/>
      <c r="L65" s="51" t="s">
        <v>790</v>
      </c>
    </row>
    <row r="66" spans="1:12">
      <c r="A66" s="43">
        <f t="shared" si="3"/>
        <v>65</v>
      </c>
      <c r="B66" s="43" t="s">
        <v>222</v>
      </c>
      <c r="C66" s="43" t="s">
        <v>242</v>
      </c>
      <c r="D66" s="40"/>
      <c r="E66" s="40"/>
      <c r="F66" s="40"/>
      <c r="G66" s="40"/>
      <c r="H66" s="40"/>
      <c r="L66" s="51" t="s">
        <v>792</v>
      </c>
    </row>
    <row r="67" spans="1:12">
      <c r="A67" s="43">
        <f t="shared" si="3"/>
        <v>66</v>
      </c>
      <c r="B67" s="43" t="s">
        <v>224</v>
      </c>
      <c r="C67" s="43" t="s">
        <v>862</v>
      </c>
      <c r="D67" s="40"/>
      <c r="E67" s="40"/>
      <c r="F67" s="40"/>
      <c r="G67" s="40"/>
      <c r="H67" s="40"/>
      <c r="L67" s="51" t="s">
        <v>795</v>
      </c>
    </row>
    <row r="68" spans="1:12">
      <c r="A68" s="43">
        <f t="shared" si="3"/>
        <v>67</v>
      </c>
      <c r="B68" s="43" t="s">
        <v>1176</v>
      </c>
      <c r="C68" s="43" t="s">
        <v>243</v>
      </c>
      <c r="D68" s="40"/>
      <c r="E68" s="40"/>
      <c r="F68" s="40"/>
      <c r="G68" s="40"/>
      <c r="H68" s="40"/>
      <c r="L68" s="51" t="s">
        <v>796</v>
      </c>
    </row>
    <row r="69" spans="1:12">
      <c r="A69" s="43">
        <f t="shared" ref="A69:A87" si="4">A68+1</f>
        <v>68</v>
      </c>
      <c r="B69" s="43" t="s">
        <v>226</v>
      </c>
      <c r="C69" s="43" t="s">
        <v>244</v>
      </c>
      <c r="D69" s="40"/>
      <c r="E69" s="40"/>
      <c r="F69" s="40"/>
      <c r="G69" s="40"/>
      <c r="H69" s="40"/>
      <c r="L69" s="51" t="s">
        <v>818</v>
      </c>
    </row>
    <row r="70" spans="1:12">
      <c r="A70" s="43">
        <f t="shared" si="4"/>
        <v>69</v>
      </c>
      <c r="B70" s="51" t="s">
        <v>439</v>
      </c>
      <c r="C70" s="43" t="s">
        <v>245</v>
      </c>
      <c r="D70" s="40"/>
      <c r="E70" s="40"/>
      <c r="F70" s="40"/>
      <c r="G70" s="40"/>
      <c r="H70" s="40"/>
      <c r="L70" s="51" t="s">
        <v>819</v>
      </c>
    </row>
    <row r="71" spans="1:12">
      <c r="A71" s="43">
        <f t="shared" si="4"/>
        <v>70</v>
      </c>
      <c r="B71" s="43" t="s">
        <v>228</v>
      </c>
      <c r="C71" s="43" t="s">
        <v>246</v>
      </c>
      <c r="D71" s="40"/>
      <c r="E71" s="40"/>
      <c r="F71" s="40"/>
      <c r="G71" s="40"/>
      <c r="H71" s="40"/>
      <c r="L71" s="51" t="s">
        <v>835</v>
      </c>
    </row>
    <row r="72" spans="1:12">
      <c r="A72" s="43">
        <f t="shared" si="4"/>
        <v>71</v>
      </c>
      <c r="B72" s="43" t="s">
        <v>229</v>
      </c>
      <c r="C72" s="43" t="s">
        <v>247</v>
      </c>
      <c r="D72" s="102"/>
      <c r="E72" s="102"/>
      <c r="F72" s="102"/>
      <c r="G72" s="102"/>
      <c r="H72" s="102"/>
      <c r="L72" s="51" t="s">
        <v>843</v>
      </c>
    </row>
    <row r="73" spans="1:12">
      <c r="A73" s="43">
        <f t="shared" si="4"/>
        <v>72</v>
      </c>
      <c r="B73" s="51" t="s">
        <v>230</v>
      </c>
      <c r="C73" s="43" t="s">
        <v>248</v>
      </c>
      <c r="D73" s="40"/>
      <c r="E73" s="40"/>
      <c r="F73" s="40"/>
      <c r="G73" s="40"/>
      <c r="H73" s="40"/>
      <c r="L73" s="51" t="s">
        <v>847</v>
      </c>
    </row>
    <row r="74" spans="1:12">
      <c r="A74" s="43">
        <f t="shared" si="4"/>
        <v>73</v>
      </c>
      <c r="B74" s="43" t="s">
        <v>232</v>
      </c>
      <c r="C74" s="43" t="s">
        <v>249</v>
      </c>
      <c r="D74" s="40"/>
      <c r="E74" s="40"/>
      <c r="F74" s="40"/>
      <c r="G74" s="40"/>
      <c r="H74" s="40"/>
      <c r="L74" s="51" t="s">
        <v>848</v>
      </c>
    </row>
    <row r="75" spans="1:12">
      <c r="A75" s="43">
        <f t="shared" si="4"/>
        <v>74</v>
      </c>
      <c r="B75" s="49" t="s">
        <v>235</v>
      </c>
      <c r="C75" s="43" t="s">
        <v>250</v>
      </c>
      <c r="D75" s="153"/>
      <c r="E75" s="153"/>
      <c r="F75" s="153"/>
      <c r="G75" s="153"/>
      <c r="H75" s="153"/>
      <c r="L75" s="51" t="s">
        <v>849</v>
      </c>
    </row>
    <row r="76" spans="1:12">
      <c r="A76" s="43">
        <f t="shared" si="4"/>
        <v>75</v>
      </c>
      <c r="B76" s="43" t="s">
        <v>237</v>
      </c>
      <c r="C76" s="48" t="s">
        <v>251</v>
      </c>
      <c r="L76" s="51" t="s">
        <v>850</v>
      </c>
    </row>
    <row r="77" spans="1:12">
      <c r="A77" s="43">
        <f t="shared" si="4"/>
        <v>76</v>
      </c>
      <c r="B77" s="51" t="s">
        <v>549</v>
      </c>
      <c r="C77" s="43" t="s">
        <v>252</v>
      </c>
      <c r="L77" s="51" t="s">
        <v>856</v>
      </c>
    </row>
    <row r="78" spans="1:12">
      <c r="A78" s="43">
        <f t="shared" si="4"/>
        <v>77</v>
      </c>
      <c r="B78" s="49" t="s">
        <v>239</v>
      </c>
      <c r="C78" s="51" t="s">
        <v>1055</v>
      </c>
      <c r="L78" s="51" t="s">
        <v>1207</v>
      </c>
    </row>
    <row r="79" spans="1:12">
      <c r="A79" s="43">
        <f t="shared" si="4"/>
        <v>78</v>
      </c>
      <c r="B79" s="43" t="s">
        <v>604</v>
      </c>
      <c r="C79" s="43" t="s">
        <v>253</v>
      </c>
      <c r="L79" s="51" t="s">
        <v>1208</v>
      </c>
    </row>
    <row r="80" spans="1:12">
      <c r="A80" s="43">
        <f t="shared" si="4"/>
        <v>79</v>
      </c>
      <c r="B80" s="43" t="s">
        <v>550</v>
      </c>
      <c r="C80" s="51" t="s">
        <v>629</v>
      </c>
      <c r="L80" s="51" t="s">
        <v>1243</v>
      </c>
    </row>
    <row r="81" spans="1:29">
      <c r="A81" s="43">
        <f t="shared" si="4"/>
        <v>80</v>
      </c>
      <c r="B81" s="43" t="s">
        <v>551</v>
      </c>
      <c r="C81" s="51" t="s">
        <v>630</v>
      </c>
      <c r="L81" s="51" t="s">
        <v>1350</v>
      </c>
    </row>
    <row r="82" spans="1:29">
      <c r="A82" s="43">
        <f t="shared" si="4"/>
        <v>81</v>
      </c>
      <c r="B82" s="43" t="s">
        <v>552</v>
      </c>
      <c r="C82" s="51" t="s">
        <v>631</v>
      </c>
      <c r="L82" s="51" t="s">
        <v>1351</v>
      </c>
    </row>
    <row r="83" spans="1:29">
      <c r="A83" s="43">
        <f t="shared" si="4"/>
        <v>82</v>
      </c>
      <c r="B83" s="43" t="s">
        <v>553</v>
      </c>
      <c r="C83" s="51" t="s">
        <v>632</v>
      </c>
      <c r="L83" s="51" t="s">
        <v>1352</v>
      </c>
    </row>
    <row r="84" spans="1:29">
      <c r="A84" s="43">
        <f t="shared" si="4"/>
        <v>83</v>
      </c>
      <c r="B84" s="43" t="s">
        <v>554</v>
      </c>
      <c r="C84" s="51" t="s">
        <v>634</v>
      </c>
      <c r="L84" s="51" t="s">
        <v>1635</v>
      </c>
    </row>
    <row r="85" spans="1:29">
      <c r="A85" s="43">
        <f t="shared" si="4"/>
        <v>84</v>
      </c>
      <c r="B85" s="43" t="s">
        <v>555</v>
      </c>
      <c r="C85" s="51" t="s">
        <v>635</v>
      </c>
      <c r="L85" s="51" t="s">
        <v>1636</v>
      </c>
    </row>
    <row r="86" spans="1:29">
      <c r="A86" s="43">
        <f t="shared" si="4"/>
        <v>85</v>
      </c>
      <c r="B86" s="43" t="s">
        <v>556</v>
      </c>
      <c r="C86" s="51" t="s">
        <v>636</v>
      </c>
      <c r="L86" s="51" t="s">
        <v>1637</v>
      </c>
    </row>
    <row r="87" spans="1:29">
      <c r="A87" s="43">
        <f t="shared" si="4"/>
        <v>86</v>
      </c>
      <c r="B87" s="51" t="s">
        <v>557</v>
      </c>
      <c r="C87" s="51" t="s">
        <v>637</v>
      </c>
    </row>
    <row r="88" spans="1:29">
      <c r="A88" s="43">
        <f>A87+1</f>
        <v>87</v>
      </c>
      <c r="B88" s="43" t="s">
        <v>558</v>
      </c>
      <c r="C88" s="51" t="s">
        <v>638</v>
      </c>
    </row>
    <row r="89" spans="1:29">
      <c r="A89" s="43">
        <f>A88+1</f>
        <v>88</v>
      </c>
      <c r="B89" s="43" t="s">
        <v>559</v>
      </c>
      <c r="C89" s="51" t="s">
        <v>639</v>
      </c>
    </row>
    <row r="90" spans="1:29">
      <c r="A90" s="43">
        <f>A89+1</f>
        <v>89</v>
      </c>
      <c r="B90" s="43" t="s">
        <v>560</v>
      </c>
      <c r="C90" s="51" t="s">
        <v>667</v>
      </c>
    </row>
    <row r="91" spans="1:29">
      <c r="A91" s="43">
        <f>A90+1</f>
        <v>90</v>
      </c>
      <c r="B91" s="43" t="s">
        <v>561</v>
      </c>
      <c r="C91" s="51" t="s">
        <v>668</v>
      </c>
    </row>
    <row r="92" spans="1:29">
      <c r="A92" s="43">
        <f t="shared" ref="A92:A136" si="5">A91+1</f>
        <v>91</v>
      </c>
      <c r="B92" s="43" t="s">
        <v>562</v>
      </c>
      <c r="C92" s="51" t="s">
        <v>669</v>
      </c>
    </row>
    <row r="93" spans="1:29">
      <c r="A93" s="43">
        <f t="shared" si="5"/>
        <v>92</v>
      </c>
      <c r="B93" s="43" t="s">
        <v>563</v>
      </c>
      <c r="C93" s="51" t="s">
        <v>670</v>
      </c>
    </row>
    <row r="94" spans="1:29">
      <c r="A94" s="43">
        <f t="shared" si="5"/>
        <v>93</v>
      </c>
      <c r="B94" s="43" t="s">
        <v>564</v>
      </c>
      <c r="C94" s="51" t="s">
        <v>671</v>
      </c>
    </row>
    <row r="95" spans="1:29" s="39" customFormat="1">
      <c r="A95" s="43">
        <f t="shared" si="5"/>
        <v>94</v>
      </c>
      <c r="B95" s="43" t="s">
        <v>565</v>
      </c>
      <c r="C95" s="51" t="s">
        <v>672</v>
      </c>
      <c r="T95"/>
      <c r="AC95"/>
    </row>
    <row r="96" spans="1:29">
      <c r="A96" s="43">
        <f t="shared" si="5"/>
        <v>95</v>
      </c>
      <c r="B96" s="43" t="s">
        <v>566</v>
      </c>
      <c r="C96" s="51" t="s">
        <v>673</v>
      </c>
      <c r="AC96" s="39"/>
    </row>
    <row r="97" spans="1:29">
      <c r="A97" s="43">
        <f t="shared" si="5"/>
        <v>96</v>
      </c>
      <c r="B97" s="43" t="s">
        <v>567</v>
      </c>
      <c r="C97" s="51" t="s">
        <v>674</v>
      </c>
    </row>
    <row r="98" spans="1:29">
      <c r="A98" s="43">
        <f t="shared" si="5"/>
        <v>97</v>
      </c>
      <c r="B98" s="43" t="s">
        <v>568</v>
      </c>
      <c r="C98" s="51" t="s">
        <v>675</v>
      </c>
    </row>
    <row r="99" spans="1:29">
      <c r="A99" s="43">
        <f t="shared" si="5"/>
        <v>98</v>
      </c>
      <c r="B99" s="43" t="s">
        <v>569</v>
      </c>
      <c r="C99" s="51" t="s">
        <v>676</v>
      </c>
    </row>
    <row r="100" spans="1:29">
      <c r="A100" s="43">
        <f t="shared" si="5"/>
        <v>99</v>
      </c>
      <c r="B100" s="43" t="s">
        <v>570</v>
      </c>
      <c r="C100" s="51" t="s">
        <v>916</v>
      </c>
    </row>
    <row r="101" spans="1:29">
      <c r="A101" s="43">
        <f t="shared" si="5"/>
        <v>100</v>
      </c>
      <c r="B101" s="43" t="s">
        <v>571</v>
      </c>
      <c r="C101" s="51" t="s">
        <v>889</v>
      </c>
    </row>
    <row r="102" spans="1:29">
      <c r="A102" s="43">
        <f t="shared" si="5"/>
        <v>101</v>
      </c>
      <c r="B102" s="43" t="s">
        <v>572</v>
      </c>
      <c r="C102" s="51" t="s">
        <v>942</v>
      </c>
      <c r="T102" s="39"/>
    </row>
    <row r="103" spans="1:29">
      <c r="A103" s="43">
        <f t="shared" si="5"/>
        <v>102</v>
      </c>
      <c r="B103" s="43" t="s">
        <v>1066</v>
      </c>
      <c r="C103" s="51" t="s">
        <v>943</v>
      </c>
    </row>
    <row r="104" spans="1:29">
      <c r="A104" s="43">
        <f t="shared" si="5"/>
        <v>103</v>
      </c>
      <c r="B104" s="43" t="s">
        <v>1067</v>
      </c>
      <c r="C104" s="51" t="s">
        <v>944</v>
      </c>
    </row>
    <row r="105" spans="1:29" s="39" customFormat="1">
      <c r="A105" s="43">
        <f t="shared" si="5"/>
        <v>104</v>
      </c>
      <c r="B105" s="43" t="s">
        <v>573</v>
      </c>
      <c r="C105" s="51" t="s">
        <v>945</v>
      </c>
      <c r="T105"/>
      <c r="AC105"/>
    </row>
    <row r="106" spans="1:29">
      <c r="A106" s="43">
        <f t="shared" si="5"/>
        <v>105</v>
      </c>
      <c r="B106" s="43" t="s">
        <v>574</v>
      </c>
      <c r="C106" s="51" t="s">
        <v>959</v>
      </c>
      <c r="AC106" s="39"/>
    </row>
    <row r="107" spans="1:29">
      <c r="A107" s="43">
        <f t="shared" si="5"/>
        <v>106</v>
      </c>
      <c r="B107" s="43" t="s">
        <v>575</v>
      </c>
      <c r="C107" s="51" t="s">
        <v>960</v>
      </c>
    </row>
    <row r="108" spans="1:29">
      <c r="A108" s="43">
        <f t="shared" si="5"/>
        <v>107</v>
      </c>
      <c r="B108" s="43" t="s">
        <v>576</v>
      </c>
      <c r="C108" s="51" t="s">
        <v>961</v>
      </c>
    </row>
    <row r="109" spans="1:29">
      <c r="A109" s="43">
        <f t="shared" si="5"/>
        <v>108</v>
      </c>
      <c r="B109" s="43" t="s">
        <v>577</v>
      </c>
      <c r="C109" s="51" t="s">
        <v>981</v>
      </c>
    </row>
    <row r="110" spans="1:29">
      <c r="A110" s="43">
        <f t="shared" si="5"/>
        <v>109</v>
      </c>
      <c r="B110" s="43" t="s">
        <v>578</v>
      </c>
      <c r="C110" s="51" t="s">
        <v>982</v>
      </c>
    </row>
    <row r="111" spans="1:29">
      <c r="A111" s="43">
        <f t="shared" si="5"/>
        <v>110</v>
      </c>
      <c r="B111" s="43" t="s">
        <v>579</v>
      </c>
      <c r="C111" s="51" t="s">
        <v>1039</v>
      </c>
    </row>
    <row r="112" spans="1:29">
      <c r="A112" s="43">
        <f t="shared" si="5"/>
        <v>111</v>
      </c>
      <c r="B112" s="43" t="s">
        <v>603</v>
      </c>
      <c r="C112" s="51" t="s">
        <v>1028</v>
      </c>
      <c r="T112" s="39"/>
    </row>
    <row r="113" spans="1:3">
      <c r="A113" s="43">
        <f t="shared" si="5"/>
        <v>112</v>
      </c>
      <c r="B113" s="43" t="s">
        <v>580</v>
      </c>
      <c r="C113" s="51" t="s">
        <v>1029</v>
      </c>
    </row>
    <row r="114" spans="1:3">
      <c r="A114" s="43">
        <f t="shared" si="5"/>
        <v>113</v>
      </c>
      <c r="B114" s="43" t="s">
        <v>581</v>
      </c>
      <c r="C114" s="51" t="s">
        <v>1030</v>
      </c>
    </row>
    <row r="115" spans="1:3">
      <c r="A115" s="43">
        <f t="shared" si="5"/>
        <v>114</v>
      </c>
      <c r="B115" s="43" t="s">
        <v>582</v>
      </c>
      <c r="C115" s="51" t="s">
        <v>1052</v>
      </c>
    </row>
    <row r="116" spans="1:3">
      <c r="A116" s="43">
        <f t="shared" si="5"/>
        <v>115</v>
      </c>
      <c r="B116" s="43" t="s">
        <v>583</v>
      </c>
      <c r="C116" s="51" t="s">
        <v>1068</v>
      </c>
    </row>
    <row r="117" spans="1:3">
      <c r="A117" s="43">
        <f t="shared" si="5"/>
        <v>116</v>
      </c>
      <c r="B117" s="43" t="s">
        <v>584</v>
      </c>
      <c r="C117" s="51" t="s">
        <v>1074</v>
      </c>
    </row>
    <row r="118" spans="1:3">
      <c r="A118" s="43">
        <f t="shared" si="5"/>
        <v>117</v>
      </c>
      <c r="B118" s="43" t="s">
        <v>585</v>
      </c>
      <c r="C118" s="51" t="s">
        <v>1150</v>
      </c>
    </row>
    <row r="119" spans="1:3">
      <c r="A119" s="43">
        <f t="shared" si="5"/>
        <v>118</v>
      </c>
      <c r="B119" s="51" t="s">
        <v>586</v>
      </c>
      <c r="C119" s="51" t="s">
        <v>1095</v>
      </c>
    </row>
    <row r="120" spans="1:3">
      <c r="A120" s="43">
        <f t="shared" si="5"/>
        <v>119</v>
      </c>
      <c r="B120" s="43" t="s">
        <v>587</v>
      </c>
      <c r="C120" s="51" t="s">
        <v>1179</v>
      </c>
    </row>
    <row r="121" spans="1:3">
      <c r="A121" s="43">
        <f t="shared" si="5"/>
        <v>120</v>
      </c>
      <c r="B121" s="43" t="s">
        <v>501</v>
      </c>
      <c r="C121" s="51" t="s">
        <v>1180</v>
      </c>
    </row>
    <row r="122" spans="1:3">
      <c r="A122" s="43">
        <f t="shared" si="5"/>
        <v>121</v>
      </c>
      <c r="B122" s="43" t="s">
        <v>588</v>
      </c>
      <c r="C122" s="51" t="s">
        <v>1181</v>
      </c>
    </row>
    <row r="123" spans="1:3">
      <c r="A123" s="43">
        <f t="shared" si="5"/>
        <v>122</v>
      </c>
      <c r="B123" s="43" t="s">
        <v>589</v>
      </c>
      <c r="C123" s="51" t="s">
        <v>1206</v>
      </c>
    </row>
    <row r="124" spans="1:3">
      <c r="A124" s="43">
        <f t="shared" si="5"/>
        <v>123</v>
      </c>
      <c r="B124" s="43" t="s">
        <v>590</v>
      </c>
      <c r="C124" s="51" t="s">
        <v>1353</v>
      </c>
    </row>
    <row r="125" spans="1:3" ht="15.75" customHeight="1">
      <c r="A125" s="43">
        <f t="shared" si="5"/>
        <v>124</v>
      </c>
      <c r="B125" s="43" t="s">
        <v>591</v>
      </c>
      <c r="C125" s="51" t="s">
        <v>1354</v>
      </c>
    </row>
    <row r="126" spans="1:3">
      <c r="A126" s="43">
        <f t="shared" si="5"/>
        <v>125</v>
      </c>
      <c r="B126" s="43" t="s">
        <v>592</v>
      </c>
      <c r="C126" s="51" t="s">
        <v>1638</v>
      </c>
    </row>
    <row r="127" spans="1:3">
      <c r="A127" s="43">
        <f t="shared" si="5"/>
        <v>126</v>
      </c>
      <c r="B127" s="43" t="s">
        <v>593</v>
      </c>
      <c r="C127" s="51" t="s">
        <v>702</v>
      </c>
    </row>
    <row r="128" spans="1:3">
      <c r="A128" s="43">
        <f t="shared" si="5"/>
        <v>127</v>
      </c>
      <c r="B128" s="43" t="s">
        <v>594</v>
      </c>
      <c r="C128" s="51" t="s">
        <v>799</v>
      </c>
    </row>
    <row r="129" spans="1:29">
      <c r="A129" s="43">
        <f t="shared" si="5"/>
        <v>128</v>
      </c>
      <c r="B129" s="43" t="s">
        <v>595</v>
      </c>
      <c r="C129" s="51" t="s">
        <v>865</v>
      </c>
    </row>
    <row r="130" spans="1:29">
      <c r="A130" s="43">
        <f t="shared" si="5"/>
        <v>129</v>
      </c>
      <c r="B130" s="43" t="s">
        <v>596</v>
      </c>
      <c r="C130" s="51" t="s">
        <v>1057</v>
      </c>
    </row>
    <row r="131" spans="1:29">
      <c r="A131" s="43">
        <f t="shared" si="5"/>
        <v>130</v>
      </c>
      <c r="B131" s="43" t="s">
        <v>597</v>
      </c>
      <c r="C131" s="51" t="s">
        <v>1058</v>
      </c>
    </row>
    <row r="132" spans="1:29">
      <c r="A132" s="43">
        <f t="shared" si="5"/>
        <v>131</v>
      </c>
      <c r="B132" s="43" t="s">
        <v>598</v>
      </c>
    </row>
    <row r="133" spans="1:29">
      <c r="A133" s="43">
        <f t="shared" si="5"/>
        <v>132</v>
      </c>
      <c r="B133" s="43" t="s">
        <v>599</v>
      </c>
    </row>
    <row r="134" spans="1:29">
      <c r="A134" s="43">
        <f t="shared" si="5"/>
        <v>133</v>
      </c>
      <c r="B134" s="43" t="s">
        <v>600</v>
      </c>
    </row>
    <row r="135" spans="1:29">
      <c r="A135" s="43">
        <f t="shared" si="5"/>
        <v>134</v>
      </c>
      <c r="B135" s="51" t="s">
        <v>506</v>
      </c>
    </row>
    <row r="136" spans="1:29">
      <c r="A136" s="43">
        <f t="shared" si="5"/>
        <v>135</v>
      </c>
      <c r="B136" s="43" t="s">
        <v>254</v>
      </c>
    </row>
    <row r="137" spans="1:29">
      <c r="A137" s="43">
        <f t="shared" ref="A137:A201" si="6">A136+1</f>
        <v>136</v>
      </c>
      <c r="B137" s="51" t="s">
        <v>255</v>
      </c>
    </row>
    <row r="138" spans="1:29">
      <c r="A138" s="43">
        <f t="shared" si="6"/>
        <v>137</v>
      </c>
      <c r="B138" s="43" t="s">
        <v>256</v>
      </c>
    </row>
    <row r="139" spans="1:29" s="39" customFormat="1">
      <c r="A139" s="43">
        <f t="shared" si="6"/>
        <v>138</v>
      </c>
      <c r="B139" s="43" t="s">
        <v>257</v>
      </c>
      <c r="T139"/>
      <c r="AC139"/>
    </row>
    <row r="140" spans="1:29">
      <c r="A140" s="43">
        <f t="shared" si="6"/>
        <v>139</v>
      </c>
      <c r="B140" s="43" t="s">
        <v>258</v>
      </c>
      <c r="AC140" s="39"/>
    </row>
    <row r="141" spans="1:29">
      <c r="A141" s="43">
        <f t="shared" si="6"/>
        <v>140</v>
      </c>
      <c r="B141" s="43" t="s">
        <v>259</v>
      </c>
    </row>
    <row r="142" spans="1:29">
      <c r="A142" s="43">
        <f t="shared" si="6"/>
        <v>141</v>
      </c>
      <c r="B142" s="43" t="s">
        <v>260</v>
      </c>
    </row>
    <row r="143" spans="1:29">
      <c r="A143" s="43">
        <f t="shared" si="6"/>
        <v>142</v>
      </c>
      <c r="B143" s="43" t="s">
        <v>261</v>
      </c>
    </row>
    <row r="144" spans="1:29">
      <c r="A144" s="43">
        <f t="shared" si="6"/>
        <v>143</v>
      </c>
      <c r="B144" s="43" t="s">
        <v>262</v>
      </c>
    </row>
    <row r="145" spans="1:20">
      <c r="A145" s="43">
        <f t="shared" si="6"/>
        <v>144</v>
      </c>
      <c r="B145" s="43" t="s">
        <v>263</v>
      </c>
    </row>
    <row r="146" spans="1:20">
      <c r="A146" s="43">
        <f t="shared" si="6"/>
        <v>145</v>
      </c>
      <c r="B146" s="43" t="s">
        <v>264</v>
      </c>
      <c r="T146" s="39"/>
    </row>
    <row r="147" spans="1:20">
      <c r="A147" s="43">
        <f t="shared" si="6"/>
        <v>146</v>
      </c>
      <c r="B147" s="43" t="s">
        <v>265</v>
      </c>
    </row>
    <row r="148" spans="1:20">
      <c r="A148" s="43">
        <f t="shared" si="6"/>
        <v>147</v>
      </c>
      <c r="B148" s="43" t="s">
        <v>266</v>
      </c>
    </row>
    <row r="149" spans="1:20">
      <c r="A149" s="43">
        <f t="shared" si="6"/>
        <v>148</v>
      </c>
      <c r="B149" s="43" t="s">
        <v>267</v>
      </c>
    </row>
    <row r="150" spans="1:20">
      <c r="A150" s="43">
        <f t="shared" si="6"/>
        <v>149</v>
      </c>
      <c r="B150" s="43" t="s">
        <v>268</v>
      </c>
    </row>
    <row r="151" spans="1:20">
      <c r="A151" s="43">
        <f t="shared" si="6"/>
        <v>150</v>
      </c>
      <c r="B151" s="43" t="s">
        <v>269</v>
      </c>
    </row>
    <row r="152" spans="1:20">
      <c r="A152" s="43">
        <f t="shared" si="6"/>
        <v>151</v>
      </c>
      <c r="B152" s="43" t="s">
        <v>270</v>
      </c>
    </row>
    <row r="153" spans="1:20" s="39" customFormat="1">
      <c r="A153" s="43">
        <f t="shared" si="6"/>
        <v>152</v>
      </c>
      <c r="B153" s="43" t="s">
        <v>271</v>
      </c>
      <c r="T153"/>
    </row>
    <row r="154" spans="1:20">
      <c r="A154" s="43">
        <f t="shared" si="6"/>
        <v>153</v>
      </c>
      <c r="B154" s="43" t="s">
        <v>272</v>
      </c>
    </row>
    <row r="155" spans="1:20">
      <c r="A155" s="43">
        <f t="shared" si="6"/>
        <v>154</v>
      </c>
      <c r="B155" s="43" t="s">
        <v>273</v>
      </c>
    </row>
    <row r="156" spans="1:20">
      <c r="A156" s="43">
        <f t="shared" si="6"/>
        <v>155</v>
      </c>
      <c r="B156" s="43" t="s">
        <v>958</v>
      </c>
    </row>
    <row r="157" spans="1:20">
      <c r="A157" s="43">
        <f t="shared" si="6"/>
        <v>156</v>
      </c>
      <c r="B157" s="49" t="s">
        <v>274</v>
      </c>
      <c r="T157" s="39"/>
    </row>
    <row r="158" spans="1:20" s="39" customFormat="1">
      <c r="A158" s="43">
        <f t="shared" si="6"/>
        <v>157</v>
      </c>
      <c r="B158" s="43" t="s">
        <v>275</v>
      </c>
      <c r="T158"/>
    </row>
    <row r="159" spans="1:20">
      <c r="A159" s="43">
        <f t="shared" si="6"/>
        <v>158</v>
      </c>
      <c r="B159" s="43" t="s">
        <v>527</v>
      </c>
    </row>
    <row r="160" spans="1:20">
      <c r="A160" s="43">
        <f t="shared" si="6"/>
        <v>159</v>
      </c>
      <c r="B160" s="43" t="s">
        <v>276</v>
      </c>
    </row>
    <row r="161" spans="1:20">
      <c r="A161" s="43">
        <f t="shared" si="6"/>
        <v>160</v>
      </c>
      <c r="B161" s="43" t="s">
        <v>277</v>
      </c>
    </row>
    <row r="162" spans="1:20">
      <c r="A162" s="43">
        <f t="shared" si="6"/>
        <v>161</v>
      </c>
      <c r="B162" s="43" t="s">
        <v>278</v>
      </c>
      <c r="T162" s="39"/>
    </row>
    <row r="163" spans="1:20">
      <c r="A163" s="43">
        <f t="shared" si="6"/>
        <v>162</v>
      </c>
      <c r="B163" s="43" t="s">
        <v>279</v>
      </c>
    </row>
    <row r="164" spans="1:20">
      <c r="A164" s="43">
        <f t="shared" si="6"/>
        <v>163</v>
      </c>
      <c r="B164" s="51" t="s">
        <v>280</v>
      </c>
    </row>
    <row r="165" spans="1:20">
      <c r="A165" s="43">
        <f t="shared" si="6"/>
        <v>164</v>
      </c>
      <c r="B165" s="51" t="s">
        <v>281</v>
      </c>
    </row>
    <row r="166" spans="1:20">
      <c r="A166" s="43">
        <f t="shared" si="6"/>
        <v>165</v>
      </c>
      <c r="B166" s="51" t="s">
        <v>1027</v>
      </c>
    </row>
    <row r="167" spans="1:20">
      <c r="A167" s="43">
        <f t="shared" si="6"/>
        <v>166</v>
      </c>
      <c r="B167" s="51" t="s">
        <v>844</v>
      </c>
    </row>
    <row r="168" spans="1:20">
      <c r="A168" s="43">
        <f t="shared" si="6"/>
        <v>167</v>
      </c>
      <c r="B168" s="43" t="s">
        <v>282</v>
      </c>
    </row>
    <row r="169" spans="1:20">
      <c r="A169" s="43">
        <f t="shared" si="6"/>
        <v>168</v>
      </c>
      <c r="B169" s="43" t="s">
        <v>624</v>
      </c>
    </row>
    <row r="170" spans="1:20">
      <c r="A170" s="43">
        <f t="shared" si="6"/>
        <v>169</v>
      </c>
      <c r="B170" s="43" t="s">
        <v>625</v>
      </c>
    </row>
    <row r="171" spans="1:20">
      <c r="A171" s="43">
        <f t="shared" si="6"/>
        <v>170</v>
      </c>
      <c r="B171" s="43" t="s">
        <v>626</v>
      </c>
    </row>
    <row r="172" spans="1:20">
      <c r="A172" s="43">
        <f t="shared" si="6"/>
        <v>171</v>
      </c>
      <c r="B172" s="43" t="s">
        <v>627</v>
      </c>
    </row>
    <row r="173" spans="1:20">
      <c r="A173" s="43">
        <f t="shared" si="6"/>
        <v>172</v>
      </c>
      <c r="B173" s="43" t="s">
        <v>628</v>
      </c>
    </row>
    <row r="174" spans="1:20">
      <c r="A174" s="43">
        <f t="shared" si="6"/>
        <v>173</v>
      </c>
      <c r="B174" s="43" t="s">
        <v>640</v>
      </c>
    </row>
    <row r="175" spans="1:20">
      <c r="A175" s="43">
        <f t="shared" si="6"/>
        <v>174</v>
      </c>
      <c r="B175" s="43" t="s">
        <v>641</v>
      </c>
    </row>
    <row r="176" spans="1:20">
      <c r="A176" s="43">
        <f t="shared" si="6"/>
        <v>175</v>
      </c>
      <c r="B176" s="43" t="s">
        <v>642</v>
      </c>
    </row>
    <row r="177" spans="1:2">
      <c r="A177" s="43">
        <f t="shared" si="6"/>
        <v>176</v>
      </c>
      <c r="B177" s="43" t="s">
        <v>643</v>
      </c>
    </row>
    <row r="178" spans="1:2">
      <c r="A178" s="43">
        <f t="shared" si="6"/>
        <v>177</v>
      </c>
      <c r="B178" s="43" t="s">
        <v>644</v>
      </c>
    </row>
    <row r="179" spans="1:2">
      <c r="A179" s="43">
        <f t="shared" si="6"/>
        <v>178</v>
      </c>
      <c r="B179" s="43" t="s">
        <v>645</v>
      </c>
    </row>
    <row r="180" spans="1:2">
      <c r="A180" s="43">
        <f t="shared" si="6"/>
        <v>179</v>
      </c>
      <c r="B180" s="43" t="s">
        <v>646</v>
      </c>
    </row>
    <row r="181" spans="1:2">
      <c r="A181" s="43">
        <f t="shared" si="6"/>
        <v>180</v>
      </c>
      <c r="B181" s="43" t="s">
        <v>647</v>
      </c>
    </row>
    <row r="182" spans="1:2">
      <c r="A182" s="43">
        <f t="shared" si="6"/>
        <v>181</v>
      </c>
      <c r="B182" s="43" t="s">
        <v>648</v>
      </c>
    </row>
    <row r="183" spans="1:2">
      <c r="A183" s="43">
        <f t="shared" si="6"/>
        <v>182</v>
      </c>
      <c r="B183" s="43" t="s">
        <v>649</v>
      </c>
    </row>
    <row r="184" spans="1:2">
      <c r="A184" s="43">
        <f t="shared" si="6"/>
        <v>183</v>
      </c>
      <c r="B184" s="43" t="s">
        <v>650</v>
      </c>
    </row>
    <row r="185" spans="1:2">
      <c r="A185" s="43">
        <f t="shared" si="6"/>
        <v>184</v>
      </c>
      <c r="B185" s="43" t="s">
        <v>651</v>
      </c>
    </row>
    <row r="186" spans="1:2">
      <c r="A186" s="43">
        <f t="shared" si="6"/>
        <v>185</v>
      </c>
      <c r="B186" s="43" t="s">
        <v>652</v>
      </c>
    </row>
    <row r="187" spans="1:2">
      <c r="A187" s="43">
        <f t="shared" si="6"/>
        <v>186</v>
      </c>
      <c r="B187" s="43" t="s">
        <v>653</v>
      </c>
    </row>
    <row r="188" spans="1:2">
      <c r="A188" s="43">
        <f t="shared" si="6"/>
        <v>187</v>
      </c>
      <c r="B188" s="43" t="s">
        <v>654</v>
      </c>
    </row>
    <row r="189" spans="1:2">
      <c r="A189" s="43">
        <f t="shared" si="6"/>
        <v>188</v>
      </c>
      <c r="B189" s="43" t="s">
        <v>681</v>
      </c>
    </row>
    <row r="190" spans="1:2">
      <c r="A190" s="43">
        <f t="shared" si="6"/>
        <v>189</v>
      </c>
      <c r="B190" s="43" t="s">
        <v>682</v>
      </c>
    </row>
    <row r="191" spans="1:2">
      <c r="A191" s="43">
        <f t="shared" si="6"/>
        <v>190</v>
      </c>
      <c r="B191" s="43" t="s">
        <v>683</v>
      </c>
    </row>
    <row r="192" spans="1:2">
      <c r="A192" s="43">
        <f t="shared" si="6"/>
        <v>191</v>
      </c>
      <c r="B192" s="43" t="s">
        <v>684</v>
      </c>
    </row>
    <row r="193" spans="1:2">
      <c r="A193" s="43">
        <f t="shared" si="6"/>
        <v>192</v>
      </c>
      <c r="B193" s="43" t="s">
        <v>685</v>
      </c>
    </row>
    <row r="194" spans="1:2">
      <c r="A194" s="43">
        <f t="shared" si="6"/>
        <v>193</v>
      </c>
      <c r="B194" s="43" t="s">
        <v>686</v>
      </c>
    </row>
    <row r="195" spans="1:2">
      <c r="A195" s="43">
        <f t="shared" si="6"/>
        <v>194</v>
      </c>
      <c r="B195" s="43" t="s">
        <v>687</v>
      </c>
    </row>
    <row r="196" spans="1:2">
      <c r="A196" s="43">
        <f t="shared" si="6"/>
        <v>195</v>
      </c>
      <c r="B196" s="43" t="s">
        <v>688</v>
      </c>
    </row>
    <row r="197" spans="1:2">
      <c r="A197" s="43">
        <f t="shared" si="6"/>
        <v>196</v>
      </c>
      <c r="B197" s="43" t="s">
        <v>689</v>
      </c>
    </row>
    <row r="198" spans="1:2">
      <c r="A198" s="43">
        <f t="shared" si="6"/>
        <v>197</v>
      </c>
      <c r="B198" s="43" t="s">
        <v>690</v>
      </c>
    </row>
    <row r="199" spans="1:2">
      <c r="A199" s="43">
        <f t="shared" si="6"/>
        <v>198</v>
      </c>
      <c r="B199" s="43" t="s">
        <v>691</v>
      </c>
    </row>
    <row r="200" spans="1:2">
      <c r="A200" s="43">
        <f t="shared" si="6"/>
        <v>199</v>
      </c>
      <c r="B200" s="43" t="s">
        <v>692</v>
      </c>
    </row>
    <row r="201" spans="1:2">
      <c r="A201" s="43">
        <f t="shared" si="6"/>
        <v>200</v>
      </c>
      <c r="B201" s="43" t="s">
        <v>693</v>
      </c>
    </row>
    <row r="202" spans="1:2">
      <c r="A202" s="43">
        <f t="shared" ref="A202:A247" si="7">A201+1</f>
        <v>201</v>
      </c>
      <c r="B202" s="43" t="s">
        <v>694</v>
      </c>
    </row>
    <row r="203" spans="1:2">
      <c r="A203" s="43">
        <f t="shared" si="7"/>
        <v>202</v>
      </c>
      <c r="B203" s="43" t="s">
        <v>695</v>
      </c>
    </row>
    <row r="204" spans="1:2">
      <c r="A204" s="43">
        <f t="shared" si="7"/>
        <v>203</v>
      </c>
      <c r="B204" s="43" t="s">
        <v>696</v>
      </c>
    </row>
    <row r="205" spans="1:2">
      <c r="A205" s="43">
        <f t="shared" si="7"/>
        <v>204</v>
      </c>
      <c r="B205" s="43" t="s">
        <v>697</v>
      </c>
    </row>
    <row r="206" spans="1:2">
      <c r="A206" s="43">
        <f t="shared" si="7"/>
        <v>205</v>
      </c>
      <c r="B206" s="43" t="s">
        <v>698</v>
      </c>
    </row>
    <row r="207" spans="1:2">
      <c r="A207" s="43">
        <f t="shared" si="7"/>
        <v>206</v>
      </c>
      <c r="B207" s="43" t="s">
        <v>699</v>
      </c>
    </row>
    <row r="208" spans="1:2">
      <c r="A208" s="43">
        <f t="shared" si="7"/>
        <v>207</v>
      </c>
      <c r="B208" s="43" t="s">
        <v>700</v>
      </c>
    </row>
    <row r="209" spans="1:2">
      <c r="A209" s="43">
        <f t="shared" si="7"/>
        <v>208</v>
      </c>
      <c r="B209" s="43" t="s">
        <v>701</v>
      </c>
    </row>
    <row r="210" spans="1:2">
      <c r="A210" s="43">
        <f t="shared" si="7"/>
        <v>209</v>
      </c>
      <c r="B210" s="43" t="s">
        <v>797</v>
      </c>
    </row>
    <row r="211" spans="1:2">
      <c r="A211" s="43">
        <f t="shared" si="7"/>
        <v>210</v>
      </c>
      <c r="B211" s="43" t="s">
        <v>798</v>
      </c>
    </row>
    <row r="212" spans="1:2">
      <c r="A212" s="43">
        <f t="shared" si="7"/>
        <v>211</v>
      </c>
      <c r="B212" s="43" t="s">
        <v>817</v>
      </c>
    </row>
    <row r="213" spans="1:2">
      <c r="A213" s="43">
        <f t="shared" si="7"/>
        <v>212</v>
      </c>
      <c r="B213" s="43" t="s">
        <v>830</v>
      </c>
    </row>
    <row r="214" spans="1:2">
      <c r="A214" s="43">
        <f t="shared" si="7"/>
        <v>213</v>
      </c>
      <c r="B214" s="43" t="s">
        <v>845</v>
      </c>
    </row>
    <row r="215" spans="1:2">
      <c r="A215" s="43">
        <f t="shared" si="7"/>
        <v>214</v>
      </c>
      <c r="B215" s="43" t="s">
        <v>846</v>
      </c>
    </row>
    <row r="216" spans="1:2">
      <c r="A216" s="43">
        <f t="shared" si="7"/>
        <v>215</v>
      </c>
      <c r="B216" s="43" t="s">
        <v>853</v>
      </c>
    </row>
    <row r="217" spans="1:2">
      <c r="A217" s="43">
        <f t="shared" si="7"/>
        <v>216</v>
      </c>
      <c r="B217" s="43" t="s">
        <v>854</v>
      </c>
    </row>
    <row r="218" spans="1:2">
      <c r="A218" s="43">
        <f t="shared" si="7"/>
        <v>217</v>
      </c>
      <c r="B218" s="43" t="s">
        <v>855</v>
      </c>
    </row>
    <row r="219" spans="1:2">
      <c r="A219" s="43">
        <f t="shared" si="7"/>
        <v>218</v>
      </c>
      <c r="B219" s="43" t="s">
        <v>861</v>
      </c>
    </row>
    <row r="220" spans="1:2">
      <c r="A220" s="43">
        <f t="shared" si="7"/>
        <v>219</v>
      </c>
      <c r="B220" s="43" t="s">
        <v>864</v>
      </c>
    </row>
    <row r="221" spans="1:2">
      <c r="A221" s="43">
        <f t="shared" si="7"/>
        <v>220</v>
      </c>
      <c r="B221" s="43" t="s">
        <v>867</v>
      </c>
    </row>
    <row r="222" spans="1:2">
      <c r="A222" s="43">
        <f t="shared" si="7"/>
        <v>221</v>
      </c>
      <c r="B222" s="43" t="s">
        <v>908</v>
      </c>
    </row>
    <row r="223" spans="1:2">
      <c r="A223" s="43">
        <f t="shared" si="7"/>
        <v>222</v>
      </c>
      <c r="B223" s="43" t="s">
        <v>909</v>
      </c>
    </row>
    <row r="224" spans="1:2">
      <c r="A224" s="43">
        <f t="shared" si="7"/>
        <v>223</v>
      </c>
      <c r="B224" s="43" t="s">
        <v>917</v>
      </c>
    </row>
    <row r="225" spans="1:2">
      <c r="A225" s="43">
        <f t="shared" si="7"/>
        <v>224</v>
      </c>
      <c r="B225" s="43" t="s">
        <v>954</v>
      </c>
    </row>
    <row r="226" spans="1:2">
      <c r="A226" s="43">
        <f t="shared" si="7"/>
        <v>225</v>
      </c>
      <c r="B226" s="43" t="s">
        <v>955</v>
      </c>
    </row>
    <row r="227" spans="1:2">
      <c r="A227" s="43">
        <f t="shared" si="7"/>
        <v>226</v>
      </c>
      <c r="B227" s="43" t="s">
        <v>1040</v>
      </c>
    </row>
    <row r="228" spans="1:2">
      <c r="A228" s="43">
        <f t="shared" si="7"/>
        <v>227</v>
      </c>
      <c r="B228" s="43" t="s">
        <v>1041</v>
      </c>
    </row>
    <row r="229" spans="1:2">
      <c r="A229" s="43">
        <f t="shared" si="7"/>
        <v>228</v>
      </c>
      <c r="B229" s="43" t="s">
        <v>1056</v>
      </c>
    </row>
    <row r="230" spans="1:2">
      <c r="A230" s="43">
        <f t="shared" si="7"/>
        <v>229</v>
      </c>
      <c r="B230" s="43" t="s">
        <v>1198</v>
      </c>
    </row>
    <row r="231" spans="1:2">
      <c r="A231" s="43">
        <f t="shared" si="7"/>
        <v>230</v>
      </c>
      <c r="B231" s="43" t="s">
        <v>1199</v>
      </c>
    </row>
    <row r="232" spans="1:2">
      <c r="A232" s="43">
        <f t="shared" si="7"/>
        <v>231</v>
      </c>
      <c r="B232" s="43" t="s">
        <v>1200</v>
      </c>
    </row>
    <row r="233" spans="1:2">
      <c r="A233" s="43">
        <f t="shared" si="7"/>
        <v>232</v>
      </c>
      <c r="B233" s="43" t="s">
        <v>1201</v>
      </c>
    </row>
    <row r="234" spans="1:2">
      <c r="A234" s="43">
        <f t="shared" si="7"/>
        <v>233</v>
      </c>
      <c r="B234" s="43" t="s">
        <v>1202</v>
      </c>
    </row>
    <row r="235" spans="1:2">
      <c r="A235" s="43">
        <f t="shared" si="7"/>
        <v>234</v>
      </c>
      <c r="B235" s="43" t="s">
        <v>1203</v>
      </c>
    </row>
    <row r="236" spans="1:2">
      <c r="A236" s="43">
        <f t="shared" si="7"/>
        <v>235</v>
      </c>
      <c r="B236" s="43" t="s">
        <v>1204</v>
      </c>
    </row>
    <row r="237" spans="1:2">
      <c r="A237" s="43">
        <f t="shared" si="7"/>
        <v>236</v>
      </c>
      <c r="B237" s="43" t="s">
        <v>1205</v>
      </c>
    </row>
    <row r="238" spans="1:2">
      <c r="A238" s="43">
        <f t="shared" si="7"/>
        <v>237</v>
      </c>
      <c r="B238" s="43" t="s">
        <v>1343</v>
      </c>
    </row>
    <row r="239" spans="1:2">
      <c r="A239" s="43">
        <f t="shared" si="7"/>
        <v>238</v>
      </c>
      <c r="B239" s="43" t="s">
        <v>1344</v>
      </c>
    </row>
    <row r="240" spans="1:2">
      <c r="A240" s="43">
        <f t="shared" si="7"/>
        <v>239</v>
      </c>
      <c r="B240" s="43" t="s">
        <v>1345</v>
      </c>
    </row>
    <row r="241" spans="1:2">
      <c r="A241" s="43">
        <f t="shared" si="7"/>
        <v>240</v>
      </c>
      <c r="B241" s="43" t="s">
        <v>1346</v>
      </c>
    </row>
    <row r="242" spans="1:2">
      <c r="A242" s="43">
        <f t="shared" si="7"/>
        <v>241</v>
      </c>
      <c r="B242" s="43" t="s">
        <v>1347</v>
      </c>
    </row>
    <row r="243" spans="1:2">
      <c r="A243" s="43">
        <f t="shared" si="7"/>
        <v>242</v>
      </c>
      <c r="B243" s="43" t="s">
        <v>1348</v>
      </c>
    </row>
    <row r="244" spans="1:2">
      <c r="A244" s="43">
        <f t="shared" si="7"/>
        <v>243</v>
      </c>
      <c r="B244" s="43" t="s">
        <v>1349</v>
      </c>
    </row>
    <row r="245" spans="1:2">
      <c r="A245" s="43">
        <f t="shared" si="7"/>
        <v>244</v>
      </c>
      <c r="B245" s="43" t="s">
        <v>1632</v>
      </c>
    </row>
    <row r="246" spans="1:2">
      <c r="A246" s="43">
        <f t="shared" si="7"/>
        <v>245</v>
      </c>
      <c r="B246" s="43" t="s">
        <v>1633</v>
      </c>
    </row>
    <row r="247" spans="1:2">
      <c r="A247" s="43">
        <f t="shared" si="7"/>
        <v>246</v>
      </c>
      <c r="B247" s="43" t="s">
        <v>1634</v>
      </c>
    </row>
    <row r="248" spans="1:2">
      <c r="A248" s="43"/>
      <c r="B248" s="43"/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B050"/>
    <pageSetUpPr fitToPage="1"/>
  </sheetPr>
  <dimension ref="A1:AC82"/>
  <sheetViews>
    <sheetView workbookViewId="0">
      <selection activeCell="D18" sqref="D18"/>
    </sheetView>
  </sheetViews>
  <sheetFormatPr defaultRowHeight="15"/>
  <cols>
    <col min="15" max="15" width="9.140625" style="41"/>
  </cols>
  <sheetData>
    <row r="1" spans="1:29">
      <c r="A1" s="218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489" t="str">
        <f>IF(Бланк!V3="","",Бланк!V3)</f>
        <v/>
      </c>
      <c r="O1" s="490" t="str">
        <f>IF(N1="","","х")</f>
        <v/>
      </c>
      <c r="P1" s="492" t="str">
        <f>IF(Бланк!X3="","",Бланк!X3)</f>
        <v/>
      </c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</row>
    <row r="2" spans="1:29" ht="21">
      <c r="A2" s="217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 t="str">
        <f>IF(Бланк!V3="","",Бланк!U2)</f>
        <v/>
      </c>
      <c r="O2" s="491" t="str">
        <f>IF(Бланк!V3="","",Бланк!R2)</f>
        <v/>
      </c>
      <c r="P2" s="219"/>
      <c r="R2" s="39"/>
      <c r="S2" s="39"/>
      <c r="T2" s="483" t="s">
        <v>718</v>
      </c>
      <c r="U2" s="483"/>
      <c r="V2" s="483"/>
      <c r="W2" s="483"/>
      <c r="X2" s="483"/>
      <c r="Y2" s="39"/>
      <c r="Z2" s="39"/>
      <c r="AA2" s="39"/>
      <c r="AB2" s="39"/>
      <c r="AC2" s="39"/>
    </row>
    <row r="3" spans="1:29" ht="21">
      <c r="A3" s="217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491" t="str">
        <f>IF(Бланк!V3="","",Бланк!W2)</f>
        <v/>
      </c>
      <c r="P3" s="219"/>
      <c r="R3" s="39"/>
      <c r="S3" s="39"/>
      <c r="T3" s="483"/>
      <c r="U3" s="483"/>
      <c r="V3" s="483"/>
      <c r="W3" s="483"/>
      <c r="X3" s="483"/>
      <c r="Y3" s="39"/>
      <c r="Z3" s="39"/>
      <c r="AA3" s="39"/>
      <c r="AB3" s="39"/>
      <c r="AC3" s="39"/>
    </row>
    <row r="4" spans="1:29" s="39" customFormat="1" ht="18.75">
      <c r="A4" s="217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491"/>
      <c r="P4" s="219"/>
      <c r="V4" s="484" t="s">
        <v>758</v>
      </c>
      <c r="W4" s="484"/>
      <c r="X4" s="484"/>
    </row>
    <row r="5" spans="1:29" s="39" customFormat="1" ht="18.75">
      <c r="A5" s="217"/>
      <c r="B5" s="218"/>
      <c r="C5" s="218"/>
      <c r="D5" s="218"/>
      <c r="E5" s="221" t="str">
        <f>IF(Бланк!S1="","для бланка № 1","")</f>
        <v>для бланка № 1</v>
      </c>
      <c r="F5" s="218"/>
      <c r="G5" s="218"/>
      <c r="H5" s="218"/>
      <c r="I5" s="218"/>
      <c r="J5" s="218"/>
      <c r="K5" s="218"/>
      <c r="L5" s="218"/>
      <c r="M5" s="218"/>
      <c r="N5" s="218"/>
      <c r="O5" s="491"/>
      <c r="P5" s="219"/>
      <c r="V5" s="484"/>
      <c r="W5" s="484"/>
      <c r="X5" s="484"/>
    </row>
    <row r="6" spans="1:29" s="39" customFormat="1">
      <c r="A6" s="217"/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491"/>
      <c r="P6" s="219"/>
    </row>
    <row r="7" spans="1:29" s="39" customFormat="1" ht="15" customHeight="1">
      <c r="A7" s="217"/>
      <c r="B7" s="218"/>
      <c r="C7" s="218"/>
      <c r="D7" s="218"/>
      <c r="E7" s="221" t="str">
        <f>IF(Бланк!S1="","в ""Меню"": ВСТАВКА - Рисунки - Ваш файл","")</f>
        <v>в "Меню": ВСТАВКА - Рисунки - Ваш файл</v>
      </c>
      <c r="F7" s="218"/>
      <c r="G7" s="218"/>
      <c r="H7" s="218"/>
      <c r="I7" s="218"/>
      <c r="J7" s="218"/>
      <c r="K7" s="218"/>
      <c r="L7" s="218"/>
      <c r="M7" s="218"/>
      <c r="N7" s="218"/>
      <c r="O7" s="491"/>
      <c r="P7" s="219"/>
    </row>
    <row r="8" spans="1:29" s="39" customFormat="1" ht="15" customHeight="1">
      <c r="A8" s="217"/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491"/>
      <c r="P8" s="219"/>
    </row>
    <row r="9" spans="1:29">
      <c r="A9" s="217"/>
      <c r="B9" s="397" t="str">
        <f>IF(Бланк!S1="","Редактирование рисунка:","")</f>
        <v>Редактирование рисунка:</v>
      </c>
      <c r="C9" s="218"/>
      <c r="D9" s="218"/>
      <c r="F9" s="218"/>
      <c r="G9" s="218"/>
      <c r="H9" s="218"/>
      <c r="I9" s="218"/>
      <c r="J9" s="218"/>
      <c r="K9" s="218"/>
      <c r="L9" s="218"/>
      <c r="M9" s="218"/>
      <c r="N9" s="218"/>
      <c r="O9" s="491"/>
      <c r="P9" s="21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</row>
    <row r="10" spans="1:29" ht="15" customHeight="1">
      <c r="A10" s="217"/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491"/>
      <c r="P10" s="21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</row>
    <row r="11" spans="1:29" ht="15.75" customHeight="1">
      <c r="A11" s="217"/>
      <c r="B11" s="398" t="str">
        <f>IF(Бланк!S1="","Выделяем картинку - 'РАБОТА С РИСУНКАМИ' (Надпись появляется выше меню справа) - Обрезка - Повернуть… смотри справа в меню","")</f>
        <v>Выделяем картинку - 'РАБОТА С РИСУНКАМИ' (Надпись появляется выше меню справа) - Обрезка - Повернуть… смотри справа в меню</v>
      </c>
      <c r="C11" s="218"/>
      <c r="D11" s="218"/>
      <c r="F11" s="218"/>
      <c r="G11" s="218"/>
      <c r="H11" s="218"/>
      <c r="I11" s="218"/>
      <c r="J11" s="218"/>
      <c r="K11" s="218"/>
      <c r="L11" s="218"/>
      <c r="M11" s="218"/>
      <c r="N11" s="218"/>
      <c r="O11" s="491"/>
      <c r="P11" s="219"/>
      <c r="R11" s="39"/>
      <c r="S11" s="39"/>
      <c r="T11" s="39"/>
      <c r="V11" s="484" t="s">
        <v>759</v>
      </c>
      <c r="W11" s="39"/>
      <c r="X11" s="39"/>
      <c r="Y11" s="39"/>
      <c r="Z11" s="39"/>
      <c r="AA11" s="39"/>
      <c r="AB11" s="39"/>
      <c r="AC11" s="39"/>
    </row>
    <row r="12" spans="1:29">
      <c r="A12" s="217"/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491"/>
      <c r="P12" s="21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</row>
    <row r="13" spans="1:29">
      <c r="A13" s="217"/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491"/>
      <c r="P13" s="21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</row>
    <row r="14" spans="1:29">
      <c r="A14" s="217"/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491"/>
      <c r="P14" s="21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</row>
    <row r="15" spans="1:29" ht="18.75">
      <c r="A15" s="217"/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491"/>
      <c r="P15" s="219"/>
      <c r="R15" s="39"/>
      <c r="S15" s="39"/>
      <c r="T15" s="39"/>
      <c r="W15" s="484"/>
      <c r="X15" s="484"/>
      <c r="Y15" s="39"/>
      <c r="Z15" s="39"/>
      <c r="AA15" s="39"/>
      <c r="AB15" s="39"/>
      <c r="AC15" s="39"/>
    </row>
    <row r="16" spans="1:29" ht="18.75">
      <c r="A16" s="217"/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491"/>
      <c r="P16" s="219"/>
      <c r="R16" s="39"/>
      <c r="S16" s="39"/>
      <c r="T16" s="39"/>
      <c r="U16" s="363" t="s">
        <v>757</v>
      </c>
      <c r="V16" s="484"/>
      <c r="W16" s="484"/>
      <c r="X16" s="484"/>
      <c r="Y16" s="39"/>
      <c r="Z16" s="39"/>
      <c r="AA16" s="39"/>
      <c r="AB16" s="39"/>
      <c r="AC16" s="39"/>
    </row>
    <row r="17" spans="1:29">
      <c r="A17" s="217"/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491"/>
      <c r="P17" s="21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</row>
    <row r="18" spans="1:29">
      <c r="A18" s="217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491"/>
      <c r="P18" s="21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</row>
    <row r="19" spans="1:29">
      <c r="A19" s="217"/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491"/>
      <c r="P19" s="21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</row>
    <row r="20" spans="1:29">
      <c r="A20" s="217"/>
      <c r="B20" s="218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491"/>
      <c r="P20" s="21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</row>
    <row r="21" spans="1:29" ht="15" customHeight="1">
      <c r="A21" s="217"/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491"/>
      <c r="P21" s="21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</row>
    <row r="22" spans="1:29" ht="15.75" customHeight="1">
      <c r="A22" s="217"/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491"/>
      <c r="P22" s="219"/>
      <c r="R22" s="39"/>
      <c r="S22" s="39"/>
      <c r="T22" s="39"/>
      <c r="V22" s="39"/>
      <c r="W22" s="39"/>
      <c r="X22" s="39"/>
      <c r="Y22" s="39"/>
      <c r="Z22" s="39"/>
      <c r="AA22" s="39"/>
      <c r="AB22" s="39"/>
      <c r="AC22" s="39"/>
    </row>
    <row r="23" spans="1:29">
      <c r="A23" s="888" t="str">
        <f>IF(Бланк!C14="","",Бланк!C14)</f>
        <v/>
      </c>
      <c r="B23" s="889"/>
      <c r="C23" s="889"/>
      <c r="D23" s="889"/>
      <c r="E23" s="889"/>
      <c r="F23" s="889"/>
      <c r="G23" s="889"/>
      <c r="H23" s="889"/>
      <c r="I23" s="889"/>
      <c r="J23" s="889"/>
      <c r="K23" s="889"/>
      <c r="L23" s="889"/>
      <c r="M23" s="889"/>
      <c r="N23" s="889"/>
      <c r="O23" s="889"/>
      <c r="P23" s="890"/>
      <c r="R23" s="39"/>
      <c r="S23" s="39"/>
      <c r="T23" s="39"/>
      <c r="V23" s="39"/>
      <c r="W23" s="39"/>
      <c r="X23" s="39"/>
      <c r="Y23" s="39"/>
      <c r="Z23" s="39"/>
      <c r="AA23" s="39"/>
      <c r="AB23" s="39"/>
      <c r="AC23" s="39"/>
    </row>
    <row r="24" spans="1:29">
      <c r="A24" s="891"/>
      <c r="B24" s="892"/>
      <c r="C24" s="892"/>
      <c r="D24" s="892"/>
      <c r="E24" s="892"/>
      <c r="F24" s="892"/>
      <c r="G24" s="892"/>
      <c r="H24" s="892"/>
      <c r="I24" s="892"/>
      <c r="J24" s="892"/>
      <c r="K24" s="892"/>
      <c r="L24" s="892"/>
      <c r="M24" s="892"/>
      <c r="N24" s="892"/>
      <c r="O24" s="892"/>
      <c r="P24" s="893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</row>
    <row r="25" spans="1:29"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</row>
    <row r="26" spans="1:29"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</row>
    <row r="27" spans="1:29"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</row>
    <row r="28" spans="1:29">
      <c r="A28" s="215"/>
      <c r="B28" s="216"/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489" t="str">
        <f>IF(Бланк!V19="","",Бланк!V19)</f>
        <v/>
      </c>
      <c r="O28" s="490" t="str">
        <f>IF(N28="","","х")</f>
        <v/>
      </c>
      <c r="P28" s="492" t="str">
        <f>IF(Бланк!X19="","",Бланк!X19)</f>
        <v/>
      </c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</row>
    <row r="29" spans="1:29">
      <c r="A29" s="217"/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 t="str">
        <f>IF(Бланк!V19="","",Бланк!U18)</f>
        <v/>
      </c>
      <c r="O29" s="491" t="str">
        <f>IF(Бланк!V19="","",Бланк!R18)</f>
        <v/>
      </c>
      <c r="P29" s="21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</row>
    <row r="30" spans="1:29">
      <c r="A30" s="217"/>
      <c r="B30" s="218"/>
      <c r="C30" s="218"/>
      <c r="D30" s="218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491" t="str">
        <f>IF(Бланк!V19="","",Бланк!W18)</f>
        <v/>
      </c>
      <c r="P30" s="21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</row>
    <row r="31" spans="1:29">
      <c r="A31" s="217"/>
      <c r="B31" s="218"/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491"/>
      <c r="P31" s="21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</row>
    <row r="32" spans="1:29">
      <c r="A32" s="217"/>
      <c r="B32" s="218"/>
      <c r="C32" s="218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491"/>
      <c r="P32" s="21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</row>
    <row r="33" spans="1:29" s="39" customFormat="1">
      <c r="A33" s="217"/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491"/>
      <c r="P33" s="219"/>
    </row>
    <row r="34" spans="1:29" s="39" customFormat="1">
      <c r="A34" s="217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491"/>
      <c r="P34" s="219"/>
    </row>
    <row r="35" spans="1:29" s="39" customFormat="1">
      <c r="A35" s="217"/>
      <c r="B35" s="218"/>
      <c r="C35" s="218"/>
      <c r="D35" s="218"/>
      <c r="E35" s="220"/>
      <c r="F35" s="218"/>
      <c r="G35" s="218"/>
      <c r="H35" s="218"/>
      <c r="I35" s="218"/>
      <c r="J35" s="218"/>
      <c r="K35" s="218"/>
      <c r="L35" s="218"/>
      <c r="M35" s="218"/>
      <c r="N35" s="218"/>
      <c r="O35" s="491"/>
      <c r="P35" s="219"/>
    </row>
    <row r="36" spans="1:29" s="39" customFormat="1">
      <c r="A36" s="217"/>
      <c r="B36" s="218"/>
      <c r="C36" s="218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491"/>
      <c r="P36" s="219"/>
    </row>
    <row r="37" spans="1:29">
      <c r="A37" s="217"/>
      <c r="B37" s="218"/>
      <c r="C37" s="218"/>
      <c r="D37" s="218"/>
      <c r="E37" s="221" t="str">
        <f>IF(Бланк!S17="","для бланка № 2","")</f>
        <v>для бланка № 2</v>
      </c>
      <c r="F37" s="218"/>
      <c r="G37" s="218"/>
      <c r="H37" s="218"/>
      <c r="I37" s="218"/>
      <c r="J37" s="218"/>
      <c r="K37" s="218"/>
      <c r="L37" s="218"/>
      <c r="M37" s="218"/>
      <c r="N37" s="218"/>
      <c r="O37" s="491"/>
      <c r="P37" s="21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</row>
    <row r="38" spans="1:29">
      <c r="A38" s="217"/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491"/>
      <c r="P38" s="21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</row>
    <row r="39" spans="1:29">
      <c r="A39" s="217"/>
      <c r="B39" s="218"/>
      <c r="C39" s="218"/>
      <c r="D39" s="218"/>
      <c r="E39" s="221" t="str">
        <f>IF(Бланк!S17="","в 'Меню': ВСТАВКА - Рисунки - Ваш файл","")</f>
        <v>в 'Меню': ВСТАВКА - Рисунки - Ваш файл</v>
      </c>
      <c r="F39" s="218"/>
      <c r="G39" s="218"/>
      <c r="H39" s="218"/>
      <c r="I39" s="218"/>
      <c r="J39" s="218"/>
      <c r="K39" s="218"/>
      <c r="L39" s="218"/>
      <c r="M39" s="218"/>
      <c r="N39" s="218"/>
      <c r="O39" s="491"/>
      <c r="P39" s="21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</row>
    <row r="40" spans="1:29">
      <c r="A40" s="217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491"/>
      <c r="P40" s="219"/>
    </row>
    <row r="41" spans="1:29">
      <c r="A41" s="217"/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491"/>
      <c r="P41" s="219"/>
    </row>
    <row r="42" spans="1:29">
      <c r="A42" s="217"/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491"/>
      <c r="P42" s="219"/>
    </row>
    <row r="43" spans="1:29">
      <c r="A43" s="217"/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491"/>
      <c r="P43" s="219"/>
    </row>
    <row r="44" spans="1:29">
      <c r="A44" s="217"/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491"/>
      <c r="P44" s="219"/>
    </row>
    <row r="45" spans="1:29">
      <c r="A45" s="217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491"/>
      <c r="P45" s="219"/>
    </row>
    <row r="46" spans="1:29">
      <c r="A46" s="217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491"/>
      <c r="P46" s="219"/>
    </row>
    <row r="47" spans="1:29">
      <c r="A47" s="217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491"/>
      <c r="P47" s="219"/>
    </row>
    <row r="48" spans="1:29">
      <c r="A48" s="217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491"/>
      <c r="P48" s="219"/>
    </row>
    <row r="49" spans="1:16">
      <c r="A49" s="217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491"/>
      <c r="P49" s="219"/>
    </row>
    <row r="50" spans="1:16">
      <c r="A50" s="217"/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491"/>
      <c r="P50" s="219"/>
    </row>
    <row r="51" spans="1:16">
      <c r="A51" s="888" t="str">
        <f>IF(Бланк!C30="","",Бланк!C30)</f>
        <v/>
      </c>
      <c r="B51" s="889"/>
      <c r="C51" s="889"/>
      <c r="D51" s="889"/>
      <c r="E51" s="889"/>
      <c r="F51" s="889"/>
      <c r="G51" s="889"/>
      <c r="H51" s="889"/>
      <c r="I51" s="889"/>
      <c r="J51" s="889"/>
      <c r="K51" s="889"/>
      <c r="L51" s="889"/>
      <c r="M51" s="889"/>
      <c r="N51" s="889"/>
      <c r="O51" s="889"/>
      <c r="P51" s="890"/>
    </row>
    <row r="52" spans="1:16">
      <c r="A52" s="891"/>
      <c r="B52" s="892"/>
      <c r="C52" s="892"/>
      <c r="D52" s="892"/>
      <c r="E52" s="892"/>
      <c r="F52" s="892"/>
      <c r="G52" s="892"/>
      <c r="H52" s="892"/>
      <c r="I52" s="892"/>
      <c r="J52" s="892"/>
      <c r="K52" s="892"/>
      <c r="L52" s="892"/>
      <c r="M52" s="892"/>
      <c r="N52" s="892"/>
      <c r="O52" s="892"/>
      <c r="P52" s="893"/>
    </row>
    <row r="57" spans="1:16">
      <c r="A57" s="215"/>
      <c r="B57" s="216"/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489" t="str">
        <f>IF(Бланк!V35="","",Бланк!V35)</f>
        <v/>
      </c>
      <c r="O57" s="490" t="str">
        <f>IF(N57="","","х")</f>
        <v/>
      </c>
      <c r="P57" s="492" t="str">
        <f>IF(Бланк!X35="","",Бланк!X35)</f>
        <v/>
      </c>
    </row>
    <row r="58" spans="1:16">
      <c r="A58" s="217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 t="str">
        <f>IF(Бланк!V35="","",Бланк!U34)</f>
        <v/>
      </c>
      <c r="O58" s="491" t="str">
        <f>IF(Бланк!V35="","",Бланк!R34)</f>
        <v/>
      </c>
      <c r="P58" s="219"/>
    </row>
    <row r="59" spans="1:16">
      <c r="A59" s="217"/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491" t="str">
        <f>IF(Бланк!V35="","",Бланк!W34)</f>
        <v/>
      </c>
      <c r="P59" s="219"/>
    </row>
    <row r="60" spans="1:16">
      <c r="A60" s="217"/>
      <c r="B60" s="218"/>
      <c r="C60" s="218"/>
      <c r="D60" s="218"/>
      <c r="E60" s="218"/>
      <c r="F60" s="218"/>
      <c r="G60" s="218"/>
      <c r="H60" s="218"/>
      <c r="I60" s="218"/>
      <c r="J60" s="218"/>
      <c r="K60" s="218"/>
      <c r="L60" s="218"/>
      <c r="M60" s="218"/>
      <c r="N60" s="218"/>
      <c r="O60" s="491"/>
      <c r="P60" s="219"/>
    </row>
    <row r="61" spans="1:16">
      <c r="A61" s="217"/>
      <c r="B61" s="218"/>
      <c r="C61" s="218"/>
      <c r="D61" s="218"/>
      <c r="E61" s="218"/>
      <c r="F61" s="218"/>
      <c r="G61" s="218"/>
      <c r="H61" s="218"/>
      <c r="I61" s="218"/>
      <c r="J61" s="218"/>
      <c r="K61" s="218"/>
      <c r="L61" s="218"/>
      <c r="M61" s="218"/>
      <c r="N61" s="218"/>
      <c r="O61" s="491"/>
      <c r="P61" s="219"/>
    </row>
    <row r="62" spans="1:16" s="39" customFormat="1">
      <c r="A62" s="217"/>
      <c r="B62" s="218"/>
      <c r="C62" s="218"/>
      <c r="D62" s="218"/>
      <c r="E62" s="218"/>
      <c r="F62" s="218"/>
      <c r="G62" s="218"/>
      <c r="H62" s="218"/>
      <c r="I62" s="218"/>
      <c r="J62" s="218"/>
      <c r="K62" s="218"/>
      <c r="L62" s="218"/>
      <c r="M62" s="218"/>
      <c r="N62" s="218"/>
      <c r="O62" s="491"/>
      <c r="P62" s="219"/>
    </row>
    <row r="63" spans="1:16" s="39" customFormat="1">
      <c r="A63" s="217"/>
      <c r="B63" s="218"/>
      <c r="C63" s="218"/>
      <c r="D63" s="218"/>
      <c r="E63" s="218"/>
      <c r="F63" s="218"/>
      <c r="G63" s="218"/>
      <c r="H63" s="218"/>
      <c r="I63" s="218"/>
      <c r="J63" s="218"/>
      <c r="K63" s="218"/>
      <c r="L63" s="218"/>
      <c r="M63" s="218"/>
      <c r="N63" s="218"/>
      <c r="O63" s="491"/>
      <c r="P63" s="219"/>
    </row>
    <row r="64" spans="1:16" s="39" customFormat="1">
      <c r="A64" s="217"/>
      <c r="B64" s="218"/>
      <c r="C64" s="218"/>
      <c r="D64" s="218"/>
      <c r="E64" s="220"/>
      <c r="F64" s="218"/>
      <c r="G64" s="218"/>
      <c r="H64" s="218"/>
      <c r="I64" s="218"/>
      <c r="J64" s="218"/>
      <c r="K64" s="218"/>
      <c r="L64" s="218"/>
      <c r="M64" s="218"/>
      <c r="N64" s="218"/>
      <c r="O64" s="491"/>
      <c r="P64" s="219"/>
    </row>
    <row r="65" spans="1:16" s="39" customFormat="1">
      <c r="A65" s="217"/>
      <c r="B65" s="218"/>
      <c r="C65" s="218"/>
      <c r="D65" s="218"/>
      <c r="E65" s="221" t="str">
        <f>IF(Бланк!S33="","для бланка № 3","")</f>
        <v>для бланка № 3</v>
      </c>
      <c r="F65" s="218"/>
      <c r="G65" s="218"/>
      <c r="H65" s="218"/>
      <c r="I65" s="218"/>
      <c r="J65" s="218"/>
      <c r="K65" s="218"/>
      <c r="L65" s="218"/>
      <c r="M65" s="218"/>
      <c r="N65" s="218"/>
      <c r="O65" s="491"/>
      <c r="P65" s="219"/>
    </row>
    <row r="66" spans="1:16">
      <c r="A66" s="217"/>
      <c r="B66" s="218"/>
      <c r="C66" s="218"/>
      <c r="D66" s="218"/>
      <c r="E66" s="221"/>
      <c r="F66" s="218"/>
      <c r="G66" s="218"/>
      <c r="H66" s="218"/>
      <c r="I66" s="218"/>
      <c r="J66" s="218"/>
      <c r="K66" s="218"/>
      <c r="L66" s="218"/>
      <c r="M66" s="218"/>
      <c r="N66" s="218"/>
      <c r="O66" s="491"/>
      <c r="P66" s="219"/>
    </row>
    <row r="67" spans="1:16">
      <c r="A67" s="217"/>
      <c r="B67" s="218"/>
      <c r="C67" s="218"/>
      <c r="D67" s="218"/>
      <c r="E67" s="221" t="str">
        <f>IF(Бланк!S33="","в 'Меню': ВСТАВКА - Рисунки - Ваш файл","")</f>
        <v>в 'Меню': ВСТАВКА - Рисунки - Ваш файл</v>
      </c>
      <c r="F67" s="218"/>
      <c r="G67" s="218"/>
      <c r="H67" s="218"/>
      <c r="I67" s="218"/>
      <c r="J67" s="218"/>
      <c r="K67" s="218"/>
      <c r="L67" s="218"/>
      <c r="M67" s="218"/>
      <c r="N67" s="218"/>
      <c r="O67" s="491"/>
      <c r="P67" s="219"/>
    </row>
    <row r="68" spans="1:16">
      <c r="A68" s="217"/>
      <c r="B68" s="218"/>
      <c r="C68" s="218"/>
      <c r="D68" s="218"/>
      <c r="E68" s="218"/>
      <c r="F68" s="218"/>
      <c r="G68" s="218"/>
      <c r="H68" s="218"/>
      <c r="I68" s="218"/>
      <c r="J68" s="218"/>
      <c r="K68" s="218"/>
      <c r="L68" s="218"/>
      <c r="M68" s="218"/>
      <c r="N68" s="218"/>
      <c r="O68" s="491"/>
      <c r="P68" s="219"/>
    </row>
    <row r="69" spans="1:16">
      <c r="A69" s="217"/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  <c r="M69" s="218"/>
      <c r="N69" s="218"/>
      <c r="O69" s="491"/>
      <c r="P69" s="219"/>
    </row>
    <row r="70" spans="1:16">
      <c r="A70" s="217"/>
      <c r="B70" s="218"/>
      <c r="C70" s="218"/>
      <c r="D70" s="218"/>
      <c r="E70" s="218"/>
      <c r="F70" s="218"/>
      <c r="G70" s="218"/>
      <c r="H70" s="218"/>
      <c r="I70" s="218"/>
      <c r="J70" s="218"/>
      <c r="K70" s="218"/>
      <c r="L70" s="218"/>
      <c r="M70" s="218"/>
      <c r="N70" s="218"/>
      <c r="O70" s="491"/>
      <c r="P70" s="219"/>
    </row>
    <row r="71" spans="1:16">
      <c r="A71" s="217"/>
      <c r="B71" s="218"/>
      <c r="C71" s="218"/>
      <c r="D71" s="218"/>
      <c r="E71" s="218"/>
      <c r="F71" s="218"/>
      <c r="G71" s="218"/>
      <c r="H71" s="218"/>
      <c r="I71" s="218"/>
      <c r="J71" s="218"/>
      <c r="K71" s="218"/>
      <c r="L71" s="218"/>
      <c r="M71" s="218"/>
      <c r="N71" s="218"/>
      <c r="O71" s="491"/>
      <c r="P71" s="219"/>
    </row>
    <row r="72" spans="1:16">
      <c r="A72" s="217"/>
      <c r="B72" s="218"/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  <c r="O72" s="491"/>
      <c r="P72" s="219"/>
    </row>
    <row r="73" spans="1:16">
      <c r="A73" s="217"/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8"/>
      <c r="M73" s="218"/>
      <c r="N73" s="218"/>
      <c r="O73" s="491"/>
      <c r="P73" s="219"/>
    </row>
    <row r="74" spans="1:16">
      <c r="A74" s="217"/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  <c r="M74" s="218"/>
      <c r="N74" s="218"/>
      <c r="O74" s="491"/>
      <c r="P74" s="219"/>
    </row>
    <row r="75" spans="1:16">
      <c r="A75" s="217"/>
      <c r="B75" s="218"/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M75" s="218"/>
      <c r="N75" s="218"/>
      <c r="O75" s="491"/>
      <c r="P75" s="219"/>
    </row>
    <row r="76" spans="1:16">
      <c r="A76" s="217"/>
      <c r="B76" s="218"/>
      <c r="C76" s="218"/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491"/>
      <c r="P76" s="219"/>
    </row>
    <row r="77" spans="1:16">
      <c r="A77" s="217"/>
      <c r="B77" s="218"/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  <c r="O77" s="491"/>
      <c r="P77" s="219"/>
    </row>
    <row r="78" spans="1:16">
      <c r="A78" s="217"/>
      <c r="B78" s="218"/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  <c r="O78" s="491"/>
      <c r="P78" s="219"/>
    </row>
    <row r="79" spans="1:16">
      <c r="A79" s="217"/>
      <c r="B79" s="218"/>
      <c r="C79" s="218"/>
      <c r="D79" s="218"/>
      <c r="E79" s="218"/>
      <c r="F79" s="218"/>
      <c r="G79" s="218"/>
      <c r="H79" s="218"/>
      <c r="I79" s="218"/>
      <c r="J79" s="218"/>
      <c r="K79" s="218"/>
      <c r="L79" s="218"/>
      <c r="M79" s="218"/>
      <c r="N79" s="218"/>
      <c r="O79" s="491"/>
      <c r="P79" s="219"/>
    </row>
    <row r="80" spans="1:16">
      <c r="A80" s="217"/>
      <c r="B80" s="218"/>
      <c r="C80" s="218"/>
      <c r="D80" s="218"/>
      <c r="E80" s="218"/>
      <c r="F80" s="218"/>
      <c r="G80" s="218"/>
      <c r="H80" s="218"/>
      <c r="I80" s="218"/>
      <c r="J80" s="218"/>
      <c r="K80" s="218"/>
      <c r="L80" s="218"/>
      <c r="M80" s="218"/>
      <c r="N80" s="218"/>
      <c r="O80" s="491"/>
      <c r="P80" s="219"/>
    </row>
    <row r="81" spans="1:16" ht="15" customHeight="1">
      <c r="A81" s="888" t="str">
        <f>IF(Бланк!C46="","",Бланк!C46)</f>
        <v/>
      </c>
      <c r="B81" s="889"/>
      <c r="C81" s="889"/>
      <c r="D81" s="889"/>
      <c r="E81" s="889"/>
      <c r="F81" s="889"/>
      <c r="G81" s="889"/>
      <c r="H81" s="889"/>
      <c r="I81" s="889"/>
      <c r="J81" s="889"/>
      <c r="K81" s="889"/>
      <c r="L81" s="889"/>
      <c r="M81" s="889"/>
      <c r="N81" s="889"/>
      <c r="O81" s="889"/>
      <c r="P81" s="890"/>
    </row>
    <row r="82" spans="1:16" ht="15" customHeight="1">
      <c r="A82" s="891"/>
      <c r="B82" s="892"/>
      <c r="C82" s="892"/>
      <c r="D82" s="892"/>
      <c r="E82" s="892"/>
      <c r="F82" s="892"/>
      <c r="G82" s="892"/>
      <c r="H82" s="892"/>
      <c r="I82" s="892"/>
      <c r="J82" s="892"/>
      <c r="K82" s="892"/>
      <c r="L82" s="892"/>
      <c r="M82" s="892"/>
      <c r="N82" s="892"/>
      <c r="O82" s="892"/>
      <c r="P82" s="893"/>
    </row>
  </sheetData>
  <sheetProtection selectLockedCells="1"/>
  <protectedRanges>
    <protectedRange sqref="E35 E63" name="Диапазон9"/>
  </protectedRanges>
  <mergeCells count="3">
    <mergeCell ref="A23:P24"/>
    <mergeCell ref="A51:P52"/>
    <mergeCell ref="A81:P82"/>
  </mergeCells>
  <pageMargins left="0.23622047244094491" right="0.23622047244094491" top="0.19685039370078741" bottom="0.15748031496062992" header="0" footer="0"/>
  <pageSetup paperSize="9" scale="6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F10"/>
  <sheetViews>
    <sheetView zoomScaleNormal="100" workbookViewId="0">
      <pane xSplit="4" ySplit="2" topLeftCell="BF3" activePane="bottomRight" state="frozen"/>
      <selection pane="topRight" activeCell="E1" sqref="E1"/>
      <selection pane="bottomLeft" activeCell="A3" sqref="A3"/>
      <selection pane="bottomRight" activeCell="B3" sqref="B3:CC3"/>
    </sheetView>
  </sheetViews>
  <sheetFormatPr defaultRowHeight="15"/>
  <cols>
    <col min="1" max="1" width="5.42578125" style="302" hidden="1" customWidth="1"/>
    <col min="2" max="2" width="4.7109375" style="302" customWidth="1"/>
    <col min="3" max="4" width="4.140625" style="302" customWidth="1"/>
    <col min="5" max="5" width="3.140625" style="302" customWidth="1"/>
    <col min="6" max="7" width="2.42578125" style="302" customWidth="1"/>
    <col min="8" max="8" width="3.140625" style="302" customWidth="1"/>
    <col min="9" max="9" width="3.7109375" style="302" bestFit="1" customWidth="1"/>
    <col min="10" max="10" width="3.42578125" style="302" customWidth="1"/>
    <col min="11" max="16" width="3.140625" style="302" customWidth="1"/>
    <col min="17" max="17" width="4.140625" style="302" customWidth="1"/>
    <col min="18" max="21" width="3.140625" style="302" customWidth="1"/>
    <col min="22" max="22" width="3.5703125" style="302" customWidth="1"/>
    <col min="23" max="43" width="3.140625" style="302" customWidth="1"/>
    <col min="44" max="44" width="3.28515625" style="302" customWidth="1"/>
    <col min="45" max="45" width="3.140625" style="302" customWidth="1"/>
    <col min="46" max="46" width="3.7109375" style="302" bestFit="1" customWidth="1"/>
    <col min="47" max="47" width="7.7109375" style="302" customWidth="1"/>
    <col min="48" max="48" width="3" style="302" customWidth="1"/>
    <col min="49" max="49" width="3.7109375" style="302" bestFit="1" customWidth="1"/>
    <col min="50" max="51" width="3.140625" style="302" customWidth="1"/>
    <col min="52" max="52" width="7" style="302" customWidth="1"/>
    <col min="53" max="55" width="3.140625" style="302" customWidth="1"/>
    <col min="56" max="56" width="2.85546875" style="302" customWidth="1"/>
    <col min="57" max="62" width="3.140625" style="302" customWidth="1"/>
    <col min="63" max="63" width="3.28515625" style="302" customWidth="1"/>
    <col min="64" max="70" width="3.140625" style="302" customWidth="1"/>
    <col min="71" max="71" width="2.7109375" style="302" customWidth="1"/>
    <col min="72" max="72" width="5.5703125" style="302" customWidth="1"/>
    <col min="73" max="73" width="4.5703125" style="302" bestFit="1" customWidth="1"/>
    <col min="74" max="74" width="13.42578125" style="302" customWidth="1"/>
    <col min="75" max="75" width="16.140625" style="302" customWidth="1"/>
    <col min="76" max="76" width="3.7109375" style="302" bestFit="1" customWidth="1"/>
    <col min="77" max="77" width="9.140625" style="302"/>
    <col min="78" max="78" width="3.7109375" style="302" bestFit="1" customWidth="1"/>
    <col min="79" max="79" width="4.85546875" style="302" customWidth="1"/>
    <col min="80" max="80" width="13.28515625" style="302" customWidth="1"/>
    <col min="81" max="81" width="1.85546875" style="302" customWidth="1"/>
    <col min="82" max="82" width="6.42578125" style="302" customWidth="1"/>
    <col min="83" max="83" width="9.140625" style="302"/>
    <col min="84" max="84" width="4.5703125" style="302" customWidth="1"/>
    <col min="85" max="16384" width="9.140625" style="302"/>
  </cols>
  <sheetData>
    <row r="1" spans="1:84">
      <c r="AP1" s="894" t="s">
        <v>395</v>
      </c>
      <c r="AQ1" s="894"/>
      <c r="AR1" s="894"/>
      <c r="AS1" s="894"/>
      <c r="AT1" s="894"/>
      <c r="AU1" s="894"/>
      <c r="AV1" s="894"/>
      <c r="AW1" s="894"/>
      <c r="AX1" s="894"/>
      <c r="AY1" s="894"/>
      <c r="AZ1" s="894" t="s">
        <v>403</v>
      </c>
      <c r="BA1" s="894"/>
      <c r="BB1" s="894"/>
      <c r="BC1" s="894"/>
      <c r="BD1" s="894"/>
      <c r="BE1" s="894"/>
      <c r="BF1" s="894"/>
      <c r="BG1" s="894"/>
      <c r="BH1" s="894"/>
    </row>
    <row r="2" spans="1:84" s="303" customFormat="1" ht="71.25">
      <c r="A2" s="303" t="s">
        <v>379</v>
      </c>
      <c r="B2" s="303" t="s">
        <v>381</v>
      </c>
      <c r="C2" s="303" t="s">
        <v>380</v>
      </c>
      <c r="D2" s="303" t="s">
        <v>84</v>
      </c>
      <c r="E2" s="303" t="s">
        <v>0</v>
      </c>
      <c r="F2" s="303" t="s">
        <v>382</v>
      </c>
      <c r="G2" s="303" t="s">
        <v>383</v>
      </c>
      <c r="H2" s="303" t="s">
        <v>321</v>
      </c>
      <c r="I2" s="303" t="s">
        <v>56</v>
      </c>
      <c r="J2" s="303" t="s">
        <v>388</v>
      </c>
      <c r="K2" s="303" t="s">
        <v>384</v>
      </c>
      <c r="L2" s="303" t="s">
        <v>385</v>
      </c>
      <c r="M2" s="303" t="s">
        <v>539</v>
      </c>
      <c r="N2" s="303" t="s">
        <v>399</v>
      </c>
      <c r="O2" s="303" t="s">
        <v>400</v>
      </c>
      <c r="P2" s="303" t="s">
        <v>283</v>
      </c>
      <c r="Q2" s="303" t="s">
        <v>10</v>
      </c>
      <c r="R2" s="303" t="s">
        <v>386</v>
      </c>
      <c r="S2" s="303" t="s">
        <v>387</v>
      </c>
      <c r="T2" s="303" t="s">
        <v>58</v>
      </c>
      <c r="U2" s="303" t="s">
        <v>389</v>
      </c>
      <c r="V2" s="303" t="s">
        <v>538</v>
      </c>
      <c r="W2" s="303" t="s">
        <v>498</v>
      </c>
      <c r="X2" s="303" t="s">
        <v>390</v>
      </c>
      <c r="Y2" s="303" t="s">
        <v>390</v>
      </c>
      <c r="Z2" s="303" t="s">
        <v>390</v>
      </c>
      <c r="AA2" s="303" t="s">
        <v>391</v>
      </c>
      <c r="AB2" s="303" t="s">
        <v>392</v>
      </c>
      <c r="AC2" s="303" t="s">
        <v>393</v>
      </c>
      <c r="AD2" s="303" t="s">
        <v>879</v>
      </c>
      <c r="AE2" s="428" t="s">
        <v>881</v>
      </c>
      <c r="AF2" s="303" t="s">
        <v>22</v>
      </c>
      <c r="AG2" s="303" t="s">
        <v>520</v>
      </c>
      <c r="AH2" s="303" t="s">
        <v>98</v>
      </c>
      <c r="AI2" s="428" t="s">
        <v>621</v>
      </c>
      <c r="AJ2" s="303" t="s">
        <v>394</v>
      </c>
      <c r="AK2" s="303" t="s">
        <v>97</v>
      </c>
      <c r="AL2" s="303" t="s">
        <v>486</v>
      </c>
      <c r="AM2" s="303" t="s">
        <v>348</v>
      </c>
      <c r="AN2" s="303" t="s">
        <v>61</v>
      </c>
      <c r="AO2" s="303" t="s">
        <v>9</v>
      </c>
      <c r="AP2" s="303" t="s">
        <v>396</v>
      </c>
      <c r="AQ2" s="303" t="s">
        <v>397</v>
      </c>
      <c r="AR2" s="303" t="s">
        <v>815</v>
      </c>
      <c r="AS2" s="303" t="s">
        <v>398</v>
      </c>
      <c r="AT2" s="303" t="s">
        <v>1033</v>
      </c>
      <c r="AU2" s="536" t="s">
        <v>1014</v>
      </c>
      <c r="AV2" s="303" t="s">
        <v>288</v>
      </c>
      <c r="AW2" s="303" t="s">
        <v>401</v>
      </c>
      <c r="AX2" s="303" t="s">
        <v>312</v>
      </c>
      <c r="AY2" s="303" t="s">
        <v>402</v>
      </c>
      <c r="AZ2" s="303" t="s">
        <v>396</v>
      </c>
      <c r="BA2" s="303" t="s">
        <v>397</v>
      </c>
      <c r="BB2" s="303" t="s">
        <v>398</v>
      </c>
      <c r="BC2" s="303" t="s">
        <v>1034</v>
      </c>
      <c r="BD2" s="536" t="s">
        <v>1035</v>
      </c>
      <c r="BE2" s="303" t="s">
        <v>288</v>
      </c>
      <c r="BF2" s="303" t="s">
        <v>401</v>
      </c>
      <c r="BG2" s="303" t="s">
        <v>312</v>
      </c>
      <c r="BH2" s="303" t="s">
        <v>402</v>
      </c>
      <c r="BI2" s="303" t="s">
        <v>404</v>
      </c>
      <c r="BJ2" s="303" t="s">
        <v>405</v>
      </c>
      <c r="BK2" s="303" t="s">
        <v>406</v>
      </c>
      <c r="BL2" s="303" t="s">
        <v>59</v>
      </c>
      <c r="BM2" s="303" t="s">
        <v>60</v>
      </c>
      <c r="BN2" s="303" t="s">
        <v>407</v>
      </c>
      <c r="BO2" s="303" t="s">
        <v>487</v>
      </c>
      <c r="BP2" s="303" t="s">
        <v>489</v>
      </c>
      <c r="BQ2" s="303" t="s">
        <v>488</v>
      </c>
      <c r="BR2" s="303" t="s">
        <v>408</v>
      </c>
      <c r="BS2" s="303" t="s">
        <v>409</v>
      </c>
      <c r="BT2" s="303" t="s">
        <v>508</v>
      </c>
      <c r="BU2" s="303" t="s">
        <v>525</v>
      </c>
      <c r="BV2" s="303" t="s">
        <v>540</v>
      </c>
      <c r="BW2" s="303" t="s">
        <v>541</v>
      </c>
      <c r="BX2" s="895" t="s">
        <v>528</v>
      </c>
      <c r="BY2" s="895"/>
      <c r="BZ2" s="303" t="s">
        <v>613</v>
      </c>
      <c r="CA2" s="303" t="s">
        <v>1193</v>
      </c>
      <c r="CB2" s="303" t="s">
        <v>875</v>
      </c>
      <c r="CC2" s="678" t="s">
        <v>1171</v>
      </c>
      <c r="CD2" s="303" t="s">
        <v>615</v>
      </c>
      <c r="CF2" s="660" t="s">
        <v>1197</v>
      </c>
    </row>
    <row r="3" spans="1:84">
      <c r="A3" s="304">
        <f ca="1">Бланк!C15</f>
        <v>45804</v>
      </c>
      <c r="B3" s="627" t="str">
        <f>Бланк!M1</f>
        <v>1</v>
      </c>
      <c r="C3" s="306" t="str">
        <f>Бланк!N1</f>
        <v>ЖЖ</v>
      </c>
      <c r="D3" s="306" t="str">
        <f>Бланк!M2</f>
        <v>О_0</v>
      </c>
      <c r="E3" s="306" t="str">
        <f>Бланк!P3</f>
        <v>выбор</v>
      </c>
      <c r="F3" s="464">
        <f>Бланк!V3</f>
        <v>0</v>
      </c>
      <c r="G3" s="306">
        <f>Бланк!X3</f>
        <v>0</v>
      </c>
      <c r="H3" s="306" t="str">
        <f>Бланк!X4</f>
        <v/>
      </c>
      <c r="I3" s="306" t="str">
        <f>IF(BZ3="",IF(Бланк!O4=0,"",Бланк!O4),"")</f>
        <v/>
      </c>
      <c r="J3" s="306" t="str">
        <f>IF(Бланк!R4="","",Бланк!R4)</f>
        <v/>
      </c>
      <c r="K3" s="306" t="str">
        <f>Бланк!O2</f>
        <v>1,0 мм</v>
      </c>
      <c r="L3" s="306" t="str">
        <f>K3</f>
        <v>1,0 мм</v>
      </c>
      <c r="M3" s="306" t="str">
        <f>IF(Бланк!R9="Одноцвет","",Бланк!R9)</f>
        <v/>
      </c>
      <c r="N3" s="306" t="str">
        <f>Бланк!U9</f>
        <v>шагрень</v>
      </c>
      <c r="O3" s="306" t="str">
        <f>IF(Бланк!X9=0,"",Бланк!X9)</f>
        <v/>
      </c>
      <c r="P3" s="306" t="str">
        <f>IF(Бланк!V10=0,"",Бланк!V10)</f>
        <v/>
      </c>
      <c r="Q3" s="306" t="str">
        <f>Бланк!R2</f>
        <v>2-х конт.</v>
      </c>
      <c r="R3" s="306" t="str">
        <f>Бланк!U2</f>
        <v>2 петли</v>
      </c>
      <c r="S3" s="306" t="str">
        <f>Бланк!W2</f>
        <v>наружняя</v>
      </c>
      <c r="T3" s="306" t="str">
        <f>Бланк!H4</f>
        <v>резиновый</v>
      </c>
      <c r="U3" s="306" t="str">
        <f>Бланк!L4</f>
        <v>Isover</v>
      </c>
      <c r="V3" s="306" t="str">
        <f>IF(Бланк!G6=0,"",Бланк!G6)</f>
        <v/>
      </c>
      <c r="W3" s="306" t="str">
        <f>IF(Бланк!H5=0,"",Бланк!H5)</f>
        <v/>
      </c>
      <c r="X3" s="307" t="str">
        <f>CONCATENATE(Бланк!L5,Бланк!N5)</f>
        <v>50</v>
      </c>
      <c r="Y3" s="307" t="str">
        <f>CONCATENATE(Бланк!O5,Бланк!Q5)</f>
        <v>50</v>
      </c>
      <c r="Z3" s="307" t="str">
        <f>CONCATENATE(Бланк!R5,Бланк!T5)</f>
        <v>50</v>
      </c>
      <c r="AA3" s="306" t="str">
        <f>Бланк!W5</f>
        <v>д.10</v>
      </c>
      <c r="AB3" s="306" t="str">
        <f>IF(Бланк!O6=0,"",Бланк!O6)</f>
        <v/>
      </c>
      <c r="AC3" s="306" t="str">
        <f>Бланк!O7</f>
        <v>Vela Т-42</v>
      </c>
      <c r="AD3" s="306" t="str">
        <f>Бланк!R6</f>
        <v/>
      </c>
      <c r="AE3" s="306" t="str">
        <f>IF(Бланк!S7="","",Бланк!S7)</f>
        <v/>
      </c>
      <c r="AF3" s="306" t="str">
        <f>Бланк!U7</f>
        <v>Стандарт</v>
      </c>
      <c r="AG3" s="306" t="str">
        <f>Бланк!W7</f>
        <v>Сл/Пв</v>
      </c>
      <c r="AH3" s="306" t="str">
        <f>Бланк!J7</f>
        <v>регулятор</v>
      </c>
      <c r="AI3" s="306" t="str">
        <f>IF(BK3="Ошибка","Ошибка",Бланк!W6)</f>
        <v>Круг хром</v>
      </c>
      <c r="AJ3" s="306" t="str">
        <f>Бланк!B8</f>
        <v>Порошок</v>
      </c>
      <c r="AK3" s="306" t="str">
        <f>IF(Бланк!G8=0,"",Бланк!G8)</f>
        <v/>
      </c>
      <c r="AL3" s="306" t="str">
        <f>IF(Бланк!I8=0,"",Бланк!I8)</f>
        <v/>
      </c>
      <c r="AM3" s="306" t="str">
        <f>Бланк!O8</f>
        <v>нет</v>
      </c>
      <c r="AN3" s="306" t="str">
        <f>Бланк!R8</f>
        <v>без геркона</v>
      </c>
      <c r="AO3" s="306" t="str">
        <f>Бланк!W8</f>
        <v>нет</v>
      </c>
      <c r="AP3" s="306" t="str">
        <f>Бланк!F9</f>
        <v>_металл</v>
      </c>
      <c r="AQ3" s="306" t="str">
        <f>Бланк!H9</f>
        <v>1,0 мм</v>
      </c>
      <c r="AR3" s="306" t="str">
        <f>_xlfn.IFNA(Бланк!J9,"")</f>
        <v>лаз.</v>
      </c>
      <c r="AS3" s="306" t="str">
        <f>IF(Бланк!L9=0,"",Бланк!L9)</f>
        <v/>
      </c>
      <c r="AT3" s="306" t="str">
        <f>IF(Бланк!P9=0,"",Бланк!P9)</f>
        <v/>
      </c>
      <c r="AU3" s="537">
        <f>Бланк!E10</f>
        <v>0</v>
      </c>
      <c r="AV3" s="306" t="str">
        <f>IF(Бланк!F10=0,"",Бланк!F10)</f>
        <v/>
      </c>
      <c r="AW3" s="306" t="str">
        <f>IF(Бланк!I10=0,"",Бланк!I10)</f>
        <v/>
      </c>
      <c r="AX3" s="306">
        <f>Бланк!P10</f>
        <v>0</v>
      </c>
      <c r="AY3" s="306" t="str">
        <f>IF(Бланк!S10=0,"",Бланк!S10)</f>
        <v/>
      </c>
      <c r="AZ3" s="306" t="str">
        <f>IF(Бланк!F11="_МДФ","МДФ",Бланк!F11)</f>
        <v>МДФ_10 лам.</v>
      </c>
      <c r="BA3" s="306" t="str">
        <f>IF(Бланк!H11=0,"",Бланк!H11)</f>
        <v>Белый</v>
      </c>
      <c r="BB3" s="306" t="str">
        <f>IF(Бланк!L11=0,"",Бланк!L11)</f>
        <v/>
      </c>
      <c r="BC3" s="306" t="str">
        <f>IF(Бланк!P11=0,"",Бланк!P11)</f>
        <v/>
      </c>
      <c r="BD3" s="537" t="str">
        <f>IF(Бланк!E12="",Бланк!D12,Бланк!E12)</f>
        <v/>
      </c>
      <c r="BE3" s="306" t="str">
        <f>IF(Бланк!F12=0,"",Бланк!F12)</f>
        <v/>
      </c>
      <c r="BF3" s="306" t="str">
        <f>IF(Бланк!I12=0,"",Бланк!I12)</f>
        <v/>
      </c>
      <c r="BG3" s="306">
        <f>Бланк!P12</f>
        <v>0</v>
      </c>
      <c r="BH3" s="306" t="str">
        <f>IF(Бланк!S12=0,"",Бланк!S12)</f>
        <v/>
      </c>
      <c r="BI3" s="306" t="str">
        <f>IF(Бланк!S11=0,"",Бланк!S11)</f>
        <v/>
      </c>
      <c r="BJ3" s="306" t="str">
        <f>IF(Бланк!U12=0,"",Бланк!U12)</f>
        <v/>
      </c>
      <c r="BK3" s="306" t="str">
        <f>IF(AND(Бланк!V6="Окно_шт",OR(Бланк!X6="Да",Бланк!X6="Нет",Бланк!X6="Чёрный")),"Ошибка",IF(Бланк!C13=0,"",Бланк!C13))</f>
        <v/>
      </c>
      <c r="BL3" s="306" t="str">
        <f>IF(Бланк!F13="без накладки на порог","",Бланк!F13)</f>
        <v/>
      </c>
      <c r="BM3" s="306" t="str">
        <f>IF(OR(BK3="Окно С",BK3="Окно С-1",BK3="Окно С-2"),"вставка из н/с",IF(Бланк!K13=0,"",Бланк!K13))</f>
        <v/>
      </c>
      <c r="BN3" s="306" t="str">
        <f>IF(Бланк!P13=0,"",Бланк!P13)</f>
        <v/>
      </c>
      <c r="BO3" s="306" t="str">
        <f>IF(Бланк!S13=0,"",Бланк!S13)</f>
        <v/>
      </c>
      <c r="BP3" s="306" t="str">
        <f>IF(Бланк!V13=0,"",Бланк!V13)</f>
        <v/>
      </c>
      <c r="BQ3" s="306" t="str">
        <f>IF(Бланк!X13=0,"",Бланк!X13)</f>
        <v/>
      </c>
      <c r="BR3" s="306" t="str">
        <f>IF(Бланк!V15=0,"",Бланк!V15)</f>
        <v/>
      </c>
      <c r="BS3" s="306" t="str">
        <f>IF(Бланк!C14=0,"",Бланк!C14)</f>
        <v/>
      </c>
      <c r="BT3" s="308">
        <f>Бланк!X1</f>
        <v>160</v>
      </c>
      <c r="BU3" s="309">
        <f>Бланк!Y1</f>
        <v>1</v>
      </c>
      <c r="BV3" s="310">
        <f>_xlfn.IFNA(Бланк!G7,0)</f>
        <v>528</v>
      </c>
      <c r="BW3" s="777">
        <f>Бланк!Z3</f>
        <v>440</v>
      </c>
      <c r="BX3" s="306">
        <f>Номер_открывания_1</f>
        <v>1</v>
      </c>
      <c r="BY3" s="306" t="str">
        <f>VLOOKUP(BX3,Двери_1[],2,0)</f>
        <v>_1_створчатая</v>
      </c>
      <c r="BZ3" s="306" t="str">
        <f>IF(Бланк!G3="","",IF(Бланк!G3="1 съёмный добор",1,IF(Бланк!G3="2 съёмных добора",2,IF(Бланк!G3="3 съёмных добора",3,""))))</f>
        <v/>
      </c>
      <c r="CA3" s="307" t="str">
        <f>Бланк!P15</f>
        <v/>
      </c>
      <c r="CB3" s="306" t="str">
        <f>Бланк!F15</f>
        <v>ДВ2 СГ 0-0ЛОЖЬ П</v>
      </c>
      <c r="CC3" s="311" t="str">
        <f>IF(Бланк!C5="","","Не стандарт")</f>
        <v/>
      </c>
      <c r="CD3" s="306"/>
      <c r="CE3" s="306" t="str">
        <f>CONCATENATE(Бланк!F15,"; ",C3,"-",B3)</f>
        <v>ДВ2 СГ 0-0ЛОЖЬ П; ЖЖ-1</v>
      </c>
      <c r="CF3" s="306"/>
    </row>
    <row r="4" spans="1:84">
      <c r="A4" s="304">
        <f ca="1">Бланк!C31</f>
        <v>45804</v>
      </c>
      <c r="B4" s="624">
        <f>Бланк!M17</f>
        <v>2</v>
      </c>
      <c r="C4" s="306" t="str">
        <f>Бланк!N17</f>
        <v>ЖЖ</v>
      </c>
      <c r="D4" s="306" t="str">
        <f>Бланк!M18</f>
        <v>М_1</v>
      </c>
      <c r="E4" s="306" t="str">
        <f>Бланк!P19</f>
        <v>выбор</v>
      </c>
      <c r="F4" s="306">
        <f>Бланк!V19</f>
        <v>0</v>
      </c>
      <c r="G4" s="306">
        <f>Бланк!X19</f>
        <v>0</v>
      </c>
      <c r="H4" s="306" t="str">
        <f>Бланк!X20</f>
        <v/>
      </c>
      <c r="I4" s="306" t="str">
        <f>IF(BZ4="",IF(Бланк!O20=0,"",Бланк!O20),"")</f>
        <v/>
      </c>
      <c r="J4" s="306" t="str">
        <f>IF(Бланк!R20="","",Бланк!R20)</f>
        <v/>
      </c>
      <c r="K4" s="306" t="str">
        <f>Бланк!O18</f>
        <v>1,2 мм.</v>
      </c>
      <c r="L4" s="306" t="str">
        <f>K4</f>
        <v>1,2 мм.</v>
      </c>
      <c r="M4" s="306" t="str">
        <f>IF(Бланк!R25="Одноцвет","",Бланк!R25)</f>
        <v/>
      </c>
      <c r="N4" s="306" t="str">
        <f>Бланк!U25</f>
        <v>шёлк</v>
      </c>
      <c r="O4" s="306" t="str">
        <f>IF(Бланк!X25=0,"",Бланк!X25)</f>
        <v/>
      </c>
      <c r="P4" s="306" t="str">
        <f>IF(Бланк!V26=0,"",Бланк!V26)</f>
        <v/>
      </c>
      <c r="Q4" s="306" t="str">
        <f>Бланк!R18</f>
        <v>2-х конт.</v>
      </c>
      <c r="R4" s="306" t="str">
        <f>Бланк!U18</f>
        <v>2 петли</v>
      </c>
      <c r="S4" s="306" t="str">
        <f>Бланк!W18</f>
        <v>наружняя</v>
      </c>
      <c r="T4" s="306" t="str">
        <f>Бланк!H20</f>
        <v>резиновый</v>
      </c>
      <c r="U4" s="306" t="str">
        <f>Бланк!L20</f>
        <v>Isover</v>
      </c>
      <c r="V4" s="306" t="str">
        <f>IF(Бланк!G22=0,"",Бланк!G22)</f>
        <v/>
      </c>
      <c r="W4" s="306" t="str">
        <f>IF(Бланк!H21=0,"",Бланк!H21)</f>
        <v/>
      </c>
      <c r="X4" s="307" t="str">
        <f>CONCATENATE(Бланк!L21,Бланк!N21)</f>
        <v>50</v>
      </c>
      <c r="Y4" s="307" t="str">
        <f>CONCATENATE(Бланк!O21,Бланк!Q21)</f>
        <v>50</v>
      </c>
      <c r="Z4" s="307" t="str">
        <f>CONCATENATE(Бланк!R21,Бланк!T21)</f>
        <v>50</v>
      </c>
      <c r="AA4" s="306" t="str">
        <f>Бланк!W21</f>
        <v>д.10</v>
      </c>
      <c r="AB4" s="306" t="str">
        <f>IF(Бланк!O22=0,"",Бланк!O22)</f>
        <v>Vela Т-47</v>
      </c>
      <c r="AC4" s="306" t="str">
        <f>Бланк!O23</f>
        <v>Vela Т-42</v>
      </c>
      <c r="AD4" s="306" t="str">
        <f>Бланк!R22</f>
        <v>без шторки</v>
      </c>
      <c r="AE4" s="306"/>
      <c r="AF4" s="306" t="str">
        <f>Бланк!U23</f>
        <v>Стандарт</v>
      </c>
      <c r="AG4" s="306" t="str">
        <f>Бланк!W23</f>
        <v>Сл/Пв</v>
      </c>
      <c r="AH4" s="306" t="str">
        <f>Бланк!J23</f>
        <v>регулятор</v>
      </c>
      <c r="AI4" s="306" t="str">
        <f>IF(BK4="Ошибка","Ошибка",Бланк!W22)</f>
        <v>Круг хром</v>
      </c>
      <c r="AJ4" s="306" t="str">
        <f>Бланк!B24</f>
        <v>Р001</v>
      </c>
      <c r="AK4" s="306" t="str">
        <f>IF(Бланк!G24=0,"",Бланк!G24)</f>
        <v/>
      </c>
      <c r="AL4" s="306" t="str">
        <f>IF(Бланк!I24=0,"",Бланк!I24)</f>
        <v/>
      </c>
      <c r="AM4" s="306" t="str">
        <f>Бланк!O24</f>
        <v>нет</v>
      </c>
      <c r="AN4" s="306" t="str">
        <f>Бланк!R24</f>
        <v>без геркона</v>
      </c>
      <c r="AO4" s="306" t="str">
        <f>Бланк!W24</f>
        <v>нет</v>
      </c>
      <c r="AP4" s="306" t="str">
        <f>Бланк!F25</f>
        <v>металл</v>
      </c>
      <c r="AQ4" s="306" t="str">
        <f>Бланк!H25</f>
        <v>1,2 мм.</v>
      </c>
      <c r="AR4" s="306" t="str">
        <f>_xlfn.IFNA(Бланк!J25,"")</f>
        <v>лаз.</v>
      </c>
      <c r="AS4" s="306" t="str">
        <f>IF(Бланк!L25=0,"",Бланк!L25)</f>
        <v/>
      </c>
      <c r="AT4" s="306" t="str">
        <f>IF(Бланк!P25=0,"",Бланк!P25)</f>
        <v/>
      </c>
      <c r="AU4" s="537">
        <f>Бланк!E26</f>
        <v>0</v>
      </c>
      <c r="AV4" s="306" t="str">
        <f>IF(Бланк!F26=0,"",Бланк!F26)</f>
        <v/>
      </c>
      <c r="AW4" s="306" t="str">
        <f>IF(Бланк!I26=0,"",Бланк!I26)</f>
        <v/>
      </c>
      <c r="AX4" s="306">
        <f>Бланк!P26</f>
        <v>0</v>
      </c>
      <c r="AY4" s="306" t="str">
        <f>IF(Бланк!S26=0,"",Бланк!S26)</f>
        <v/>
      </c>
      <c r="AZ4" s="306" t="str">
        <f>IF(Бланк!F27="_МДФ","МДФ",Бланк!F27)</f>
        <v>МДФ_10 лам.</v>
      </c>
      <c r="BA4" s="306" t="str">
        <f>IF(Бланк!H27=0,"",Бланк!H27)</f>
        <v>Белый</v>
      </c>
      <c r="BB4" s="306" t="str">
        <f>IF(Бланк!L27=0,"",Бланк!L27)</f>
        <v/>
      </c>
      <c r="BC4" s="306" t="str">
        <f>IF(Бланк!P27=0,"",Бланк!P27)</f>
        <v/>
      </c>
      <c r="BD4" s="537" t="str">
        <f>IF(Бланк!E28="",Бланк!D28,Бланк!E28)</f>
        <v/>
      </c>
      <c r="BE4" s="306" t="str">
        <f>IF(Бланк!F28=0,"",Бланк!F28)</f>
        <v/>
      </c>
      <c r="BF4" s="306" t="str">
        <f>IF(Бланк!I28=0,"",Бланк!I28)</f>
        <v/>
      </c>
      <c r="BG4" s="306">
        <f>Бланк!P28</f>
        <v>0</v>
      </c>
      <c r="BH4" s="306" t="str">
        <f>IF(Бланк!S28=0,"",Бланк!S28)</f>
        <v/>
      </c>
      <c r="BI4" s="306" t="str">
        <f>IF(Бланк!S27=0,"",Бланк!S27)</f>
        <v/>
      </c>
      <c r="BJ4" s="306" t="str">
        <f>IF(Бланк!U28=0,"",Бланк!U28)</f>
        <v/>
      </c>
      <c r="BK4" s="306" t="str">
        <f>IF(AND(Бланк!V22="Окно_шт",OR(Бланк!X22="Да",Бланк!X22="Нет",Бланк!X22="Чёрный")),"Ошибка",IF(Бланк!C29=0,"",Бланк!C29))</f>
        <v/>
      </c>
      <c r="BL4" s="306" t="str">
        <f>IF(Бланк!F29="без накладки на порог","",Бланк!F29)</f>
        <v/>
      </c>
      <c r="BM4" s="306" t="str">
        <f>IF(OR(BK4="Окно С",BK4="Окно С-1",BK4="Окно С-2"),"вставка из н/с",IF(Бланк!K29=0,"",Бланк!K29))</f>
        <v/>
      </c>
      <c r="BN4" s="306" t="str">
        <f>IF(Бланк!P29=0,"",Бланк!P29)</f>
        <v/>
      </c>
      <c r="BO4" s="306" t="str">
        <f>IF(Бланк!S29=0,"",Бланк!S29)</f>
        <v/>
      </c>
      <c r="BP4" s="306" t="str">
        <f>IF(Бланк!V29=0,"",Бланк!V29)</f>
        <v/>
      </c>
      <c r="BQ4" s="306" t="str">
        <f>IF(Бланк!X29=0,"",Бланк!X29)</f>
        <v/>
      </c>
      <c r="BR4" s="306" t="str">
        <f>IF(Бланк!V31=0,"",Бланк!V31)</f>
        <v/>
      </c>
      <c r="BS4" s="312" t="str">
        <f>IF(Бланк!C30=0,"",Бланк!C30)</f>
        <v/>
      </c>
      <c r="BT4" s="308">
        <f>Бланк!X17</f>
        <v>187</v>
      </c>
      <c r="BU4" s="309">
        <f>BU3</f>
        <v>1</v>
      </c>
      <c r="BV4" s="310">
        <f>_xlfn.IFNA(Бланк!G23,0)</f>
        <v>617.1</v>
      </c>
      <c r="BW4" s="777">
        <f>Бланк!Z19</f>
        <v>514.25</v>
      </c>
      <c r="BX4" s="306">
        <f>Номер_открывания_2</f>
        <v>1</v>
      </c>
      <c r="BY4" s="306" t="str">
        <f>VLOOKUP(BX4,Двери_1[],2,0)</f>
        <v>_1_створчатая</v>
      </c>
      <c r="BZ4" s="306" t="str">
        <f>IF(Бланк!G19="","",Бланк!G19)</f>
        <v/>
      </c>
      <c r="CA4" s="307" t="str">
        <f>Бланк!P31</f>
        <v/>
      </c>
      <c r="CB4" s="306" t="str">
        <f>Бланк!F31</f>
        <v>ДВ2 СГ 0-0ЛОЖЬ П</v>
      </c>
      <c r="CC4" s="311" t="str">
        <f>IF(Бланк!C21="","","Не стандарт")</f>
        <v/>
      </c>
      <c r="CD4" s="306" t="str">
        <f>IF(CD3="","",CD3)</f>
        <v/>
      </c>
      <c r="CE4" s="306" t="str">
        <f>CONCATENATE(Бланк!F31,"; ",C4,"-",B4)</f>
        <v>ДВ2 СГ 0-0ЛОЖЬ П; ЖЖ-2</v>
      </c>
      <c r="CF4" s="306"/>
    </row>
    <row r="5" spans="1:84">
      <c r="A5" s="304">
        <f ca="1">Бланк!C47</f>
        <v>45804</v>
      </c>
      <c r="B5" s="624">
        <f>Бланк!M33</f>
        <v>3</v>
      </c>
      <c r="C5" s="306" t="str">
        <f>Бланк!N33</f>
        <v>ЖЖ</v>
      </c>
      <c r="D5" s="306" t="str">
        <f>Бланк!M34</f>
        <v>М_3</v>
      </c>
      <c r="E5" s="306" t="str">
        <f>Бланк!P35</f>
        <v>выбор</v>
      </c>
      <c r="F5" s="306">
        <f>Бланк!V35</f>
        <v>0</v>
      </c>
      <c r="G5" s="306">
        <f>Бланк!X35</f>
        <v>0</v>
      </c>
      <c r="H5" s="306" t="str">
        <f>Бланк!X36</f>
        <v/>
      </c>
      <c r="I5" s="306" t="str">
        <f>IF(BZ5="",IF(Бланк!O36=0,"",Бланк!O36),"")</f>
        <v/>
      </c>
      <c r="J5" s="306" t="str">
        <f>IF(Бланк!R36="","",Бланк!R36)</f>
        <v/>
      </c>
      <c r="K5" s="306" t="str">
        <f>Бланк!O34</f>
        <v>1,2 мм.</v>
      </c>
      <c r="L5" s="306" t="str">
        <f>K5</f>
        <v>1,2 мм.</v>
      </c>
      <c r="M5" s="306" t="str">
        <f>IF(Бланк!R41="Одноцвет","",Бланк!R41)</f>
        <v/>
      </c>
      <c r="N5" s="306" t="str">
        <f>Бланк!U41</f>
        <v>шёлк</v>
      </c>
      <c r="O5" s="306" t="str">
        <f>IF(Бланк!X41=0,"",Бланк!X41)</f>
        <v/>
      </c>
      <c r="P5" s="306" t="str">
        <f>IF(Бланк!V42=0,"",Бланк!V42)</f>
        <v/>
      </c>
      <c r="Q5" s="306" t="str">
        <f>Бланк!R34</f>
        <v>2-х конт.</v>
      </c>
      <c r="R5" s="306" t="str">
        <f>Бланк!U34</f>
        <v>2 петли</v>
      </c>
      <c r="S5" s="306" t="str">
        <f>Бланк!W34</f>
        <v>наружняя</v>
      </c>
      <c r="T5" s="306" t="str">
        <f>Бланк!H36</f>
        <v>резиновый</v>
      </c>
      <c r="U5" s="306" t="str">
        <f>Бланк!L36</f>
        <v>Isover</v>
      </c>
      <c r="V5" s="306" t="str">
        <f>IF(Бланк!G38=0,"",Бланк!G38)</f>
        <v/>
      </c>
      <c r="W5" s="306" t="str">
        <f>IF(Бланк!H37="","",Бланк!H37)</f>
        <v>Стандарт</v>
      </c>
      <c r="X5" s="307" t="str">
        <f>CONCATENATE(Бланк!L37,Бланк!N37)</f>
        <v>50</v>
      </c>
      <c r="Y5" s="307" t="str">
        <f>CONCATENATE(Бланк!O37,Бланк!Q37)</f>
        <v>50</v>
      </c>
      <c r="Z5" s="307" t="str">
        <f>CONCATENATE(Бланк!R37,Бланк!T37)</f>
        <v>50</v>
      </c>
      <c r="AA5" s="306" t="str">
        <f>Бланк!W37</f>
        <v>д.10</v>
      </c>
      <c r="AB5" s="306" t="str">
        <f>IF(Бланк!O38=0,"",Бланк!O38)</f>
        <v>Vela Т-47</v>
      </c>
      <c r="AC5" s="306" t="str">
        <f>Бланк!O39</f>
        <v>Vela Т-42</v>
      </c>
      <c r="AD5" s="306" t="str">
        <f>Бланк!R38</f>
        <v>без шторки</v>
      </c>
      <c r="AE5" s="306"/>
      <c r="AF5" s="306" t="str">
        <f>Бланк!U39</f>
        <v>Стандарт</v>
      </c>
      <c r="AG5" s="306" t="str">
        <f>Бланк!W39</f>
        <v>Сл/Пв</v>
      </c>
      <c r="AH5" s="306" t="str">
        <f>Бланк!J39</f>
        <v>регулятор</v>
      </c>
      <c r="AI5" s="306" t="str">
        <f>IF(BK5="Ошибка","Ошибка",Бланк!W38)</f>
        <v>Круг хром</v>
      </c>
      <c r="AJ5" s="306" t="str">
        <f>Бланк!B40</f>
        <v>розетка</v>
      </c>
      <c r="AK5" s="306" t="str">
        <f>IF(Бланк!G40=0,"",Бланк!G40)</f>
        <v/>
      </c>
      <c r="AL5" s="306" t="str">
        <f>IF(Бланк!I40=0,"",Бланк!I40)</f>
        <v/>
      </c>
      <c r="AM5" s="306" t="str">
        <f>Бланк!O40</f>
        <v>да</v>
      </c>
      <c r="AN5" s="306" t="str">
        <f>Бланк!R40</f>
        <v>без геркона</v>
      </c>
      <c r="AO5" s="306" t="str">
        <f>Бланк!W40</f>
        <v>Crit</v>
      </c>
      <c r="AP5" s="306" t="str">
        <f>Бланк!F41</f>
        <v>МДФ</v>
      </c>
      <c r="AQ5" s="306" t="str">
        <f>Бланк!H41</f>
        <v>_8мм</v>
      </c>
      <c r="AR5" s="306" t="str">
        <f>_xlfn.IFNA(Бланк!J41,"")</f>
        <v>фрез</v>
      </c>
      <c r="AS5" s="313" t="str">
        <f>IF(Бланк!L41=0,"",Бланк!L41)</f>
        <v>прост.</v>
      </c>
      <c r="AT5" s="306" t="str">
        <f>IF(Бланк!P41=0,"",Бланк!P41)</f>
        <v/>
      </c>
      <c r="AU5" s="537">
        <f>Бланк!E42</f>
        <v>0</v>
      </c>
      <c r="AV5" s="306" t="str">
        <f>IF(Бланк!F42=0,"",Бланк!F42)</f>
        <v>ПВХ_Стандарт</v>
      </c>
      <c r="AW5" s="306" t="str">
        <f>IF(Бланк!I42=0,"",Бланк!I42)</f>
        <v/>
      </c>
      <c r="AX5" s="306">
        <f>Бланк!P42</f>
        <v>0</v>
      </c>
      <c r="AY5" s="306" t="str">
        <f>IF(Бланк!S42=0,"",Бланк!S42)</f>
        <v/>
      </c>
      <c r="AZ5" s="306" t="str">
        <f>IF(Бланк!F43="_МДФ","МДФ",Бланк!F43)</f>
        <v>МДФ</v>
      </c>
      <c r="BA5" s="306" t="str">
        <f>IF(Бланк!H43=0,"",Бланк!H43)</f>
        <v>_8мм</v>
      </c>
      <c r="BB5" s="306" t="str">
        <f>IF(Бланк!L43=0,"",Бланк!L43)</f>
        <v>прост.</v>
      </c>
      <c r="BC5" s="306" t="str">
        <f>IF(Бланк!P43=0,"",Бланк!P43)</f>
        <v/>
      </c>
      <c r="BD5" s="537" t="str">
        <f>IF(Бланк!E44="",Бланк!D44,Бланк!E44)</f>
        <v>_плёнка</v>
      </c>
      <c r="BE5" s="306" t="str">
        <f>IF(Бланк!F44=0,"",Бланк!F44)</f>
        <v>ПВХ_Стандарт</v>
      </c>
      <c r="BF5" s="306" t="str">
        <f>IF(Бланк!I44=0,"",Бланк!I44)</f>
        <v/>
      </c>
      <c r="BG5" s="306">
        <f>Бланк!P44</f>
        <v>0</v>
      </c>
      <c r="BH5" s="306" t="str">
        <f>IF(Бланк!S44=0,"",Бланк!S44)</f>
        <v/>
      </c>
      <c r="BI5" s="306" t="str">
        <f>IF(Бланк!S43=0,"",Бланк!S43)</f>
        <v/>
      </c>
      <c r="BJ5" s="306" t="str">
        <f>IF(Бланк!U44=0,"",Бланк!U44)</f>
        <v/>
      </c>
      <c r="BK5" s="306" t="str">
        <f>IF(AND(Бланк!V38="Окно_шт",OR(Бланк!X38="Да",Бланк!X38="Нет",Бланк!X38="Чёрный")),"Ошибка",IF(Бланк!C45=0,"",Бланк!C45))</f>
        <v/>
      </c>
      <c r="BL5" s="306" t="str">
        <f>IF(Бланк!F45="без накладки на порог","",Бланк!F45)</f>
        <v/>
      </c>
      <c r="BM5" s="306" t="str">
        <f>IF(OR(BK5="Окно С",BK5="Окно С-1",BK5="Окно С-2"),"вставка из н/с",IF(Бланк!K45=0,"",Бланк!K45))</f>
        <v/>
      </c>
      <c r="BN5" s="306" t="str">
        <f>IF(Бланк!P45=0,"",Бланк!P45)</f>
        <v/>
      </c>
      <c r="BO5" s="306" t="str">
        <f>IF(Бланк!S45=0,"",Бланк!S45)</f>
        <v/>
      </c>
      <c r="BP5" s="306" t="str">
        <f>IF(Бланк!V45=0,"",Бланк!V45)</f>
        <v/>
      </c>
      <c r="BQ5" s="306" t="str">
        <f>IF(Бланк!X45=0,"",Бланк!X45)</f>
        <v/>
      </c>
      <c r="BR5" s="306" t="str">
        <f>IF(Бланк!V47=0,"",Бланк!V47)</f>
        <v/>
      </c>
      <c r="BS5" s="306" t="str">
        <f>IF(Бланк!C46=0,"",Бланк!C46)</f>
        <v/>
      </c>
      <c r="BT5" s="308">
        <f>Бланк!X33</f>
        <v>254</v>
      </c>
      <c r="BU5" s="309">
        <f>BU4</f>
        <v>1</v>
      </c>
      <c r="BV5" s="310">
        <f>_xlfn.IFNA(Бланк!G39,0)</f>
        <v>838.2</v>
      </c>
      <c r="BW5" s="777">
        <f>Бланк!Z35</f>
        <v>698.5</v>
      </c>
      <c r="BX5" s="306">
        <f>Номер_открывания_3</f>
        <v>1</v>
      </c>
      <c r="BY5" s="306" t="str">
        <f>VLOOKUP(BX5,Двери_1[],2,0)</f>
        <v>_1_створчатая</v>
      </c>
      <c r="BZ5" s="306" t="str">
        <f>IF(Бланк!G35="","",Бланк!G35)</f>
        <v/>
      </c>
      <c r="CA5" s="307" t="str">
        <f>Бланк!P47</f>
        <v/>
      </c>
      <c r="CB5" s="306" t="str">
        <f>Бланк!F47</f>
        <v>ДВ2 СГ 0-0ЛОЖЬ П</v>
      </c>
      <c r="CC5" s="311" t="str">
        <f>IF(Бланк!C37="","","Не стандарт")</f>
        <v/>
      </c>
      <c r="CD5" s="306" t="str">
        <f>CD4</f>
        <v/>
      </c>
      <c r="CE5" s="306" t="str">
        <f>CONCATENATE(Бланк!F47,"; ",C5,"-",B5)</f>
        <v>ДВ2 СГ 0-0ЛОЖЬ П; ЖЖ-3</v>
      </c>
      <c r="CF5" s="306"/>
    </row>
    <row r="7" spans="1:84">
      <c r="BV7" s="305">
        <f>SUM(BV3:BV6)</f>
        <v>1983.3</v>
      </c>
    </row>
    <row r="10" spans="1:84">
      <c r="BW10" s="305"/>
    </row>
  </sheetData>
  <sheetProtection selectLockedCells="1"/>
  <protectedRanges>
    <protectedRange sqref="B3:CF5" name="Диапазон1"/>
  </protectedRanges>
  <mergeCells count="3">
    <mergeCell ref="AP1:AY1"/>
    <mergeCell ref="AZ1:BH1"/>
    <mergeCell ref="BX2:BY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3"/>
  <sheetViews>
    <sheetView workbookViewId="0">
      <selection activeCell="B6" sqref="B6"/>
    </sheetView>
  </sheetViews>
  <sheetFormatPr defaultRowHeight="15"/>
  <cols>
    <col min="1" max="1" width="10.140625" style="386" bestFit="1" customWidth="1"/>
    <col min="2" max="2" width="97.42578125" style="452" customWidth="1"/>
    <col min="3" max="3" width="88.140625" style="435" customWidth="1"/>
    <col min="4" max="16384" width="9.140625" style="386"/>
  </cols>
  <sheetData>
    <row r="1" spans="1:3" ht="15.75" thickBot="1">
      <c r="A1" s="433" t="s">
        <v>379</v>
      </c>
      <c r="B1" s="434" t="s">
        <v>893</v>
      </c>
      <c r="C1" s="434" t="s">
        <v>894</v>
      </c>
    </row>
    <row r="2" spans="1:3" ht="5.25" customHeight="1"/>
    <row r="3" spans="1:3" ht="51.75" customHeight="1">
      <c r="A3" s="900"/>
      <c r="B3" s="453" t="s">
        <v>1069</v>
      </c>
      <c r="C3" s="450"/>
    </row>
    <row r="4" spans="1:3" ht="30">
      <c r="A4" s="900"/>
      <c r="B4" s="453" t="s">
        <v>1054</v>
      </c>
      <c r="C4" s="450" t="s">
        <v>911</v>
      </c>
    </row>
    <row r="5" spans="1:3" ht="30">
      <c r="A5" s="900"/>
      <c r="B5" s="454" t="s">
        <v>912</v>
      </c>
      <c r="C5" s="450"/>
    </row>
    <row r="6" spans="1:3" ht="182.25" customHeight="1">
      <c r="A6" s="567"/>
      <c r="B6" s="476" t="s">
        <v>1213</v>
      </c>
      <c r="C6" s="477"/>
    </row>
    <row r="7" spans="1:3" ht="15" customHeight="1">
      <c r="A7" s="896"/>
      <c r="B7" s="898" t="s">
        <v>1214</v>
      </c>
    </row>
    <row r="8" spans="1:3" ht="27.75" customHeight="1">
      <c r="A8" s="897"/>
      <c r="B8" s="899"/>
    </row>
    <row r="9" spans="1:3">
      <c r="A9" s="901"/>
      <c r="B9" s="902" t="s">
        <v>1046</v>
      </c>
    </row>
    <row r="10" spans="1:3" ht="19.5" customHeight="1">
      <c r="A10" s="901"/>
      <c r="B10" s="903"/>
    </row>
    <row r="11" spans="1:3">
      <c r="A11" s="661"/>
      <c r="B11" s="662" t="s">
        <v>1209</v>
      </c>
    </row>
    <row r="12" spans="1:3" ht="45">
      <c r="A12" s="674">
        <v>45096</v>
      </c>
      <c r="B12" s="673" t="s">
        <v>1224</v>
      </c>
    </row>
    <row r="13" spans="1:3">
      <c r="B13" s="673" t="s">
        <v>1225</v>
      </c>
    </row>
  </sheetData>
  <sheetProtection password="CC27" sheet="1" objects="1" scenarios="1"/>
  <mergeCells count="5">
    <mergeCell ref="A7:A8"/>
    <mergeCell ref="B7:B8"/>
    <mergeCell ref="A3:A5"/>
    <mergeCell ref="A9:A10"/>
    <mergeCell ref="B9:B10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D2599"/>
  <sheetViews>
    <sheetView zoomScaleNormal="100" workbookViewId="0">
      <pane xSplit="11" ySplit="3" topLeftCell="L178" activePane="bottomRight" state="frozen"/>
      <selection pane="topRight" activeCell="L1" sqref="L1"/>
      <selection pane="bottomLeft" activeCell="A4" sqref="A4"/>
      <selection pane="bottomRight" activeCell="S196" sqref="S196:AB197"/>
    </sheetView>
  </sheetViews>
  <sheetFormatPr defaultRowHeight="15"/>
  <cols>
    <col min="1" max="1" width="4.42578125" style="39" bestFit="1" customWidth="1"/>
    <col min="2" max="2" width="12" customWidth="1"/>
    <col min="3" max="3" width="11.5703125" customWidth="1"/>
    <col min="4" max="4" width="6.85546875" customWidth="1"/>
    <col min="5" max="5" width="5.7109375" customWidth="1"/>
    <col min="6" max="8" width="4.140625" customWidth="1"/>
    <col min="9" max="9" width="5.140625" customWidth="1"/>
    <col min="10" max="10" width="4.140625" customWidth="1"/>
    <col min="11" max="16" width="4.140625" style="39" customWidth="1"/>
    <col min="17" max="17" width="4.140625" customWidth="1"/>
    <col min="18" max="18" width="3.140625" customWidth="1"/>
    <col min="19" max="19" width="4.42578125" style="32" bestFit="1" customWidth="1"/>
    <col min="20" max="20" width="21.140625" style="40" customWidth="1"/>
    <col min="21" max="21" width="7.7109375" style="31" customWidth="1"/>
    <col min="22" max="22" width="6.42578125" style="32" customWidth="1"/>
    <col min="23" max="23" width="21.140625" style="40" customWidth="1"/>
    <col min="24" max="24" width="11.140625" style="31" bestFit="1" customWidth="1"/>
    <col min="25" max="25" width="1" customWidth="1"/>
    <col min="26" max="26" width="4.5703125" style="32" bestFit="1" customWidth="1"/>
    <col min="27" max="27" width="19" style="40" customWidth="1"/>
    <col min="28" max="28" width="9.5703125" style="31" bestFit="1" customWidth="1"/>
  </cols>
  <sheetData>
    <row r="1" spans="1:28" s="40" customFormat="1">
      <c r="B1" s="248" t="s">
        <v>1645</v>
      </c>
      <c r="D1" s="111"/>
      <c r="F1" s="111"/>
      <c r="O1" s="40">
        <f>MATCH(Ошибки_цена[[#Headers],[Ошибка-1]],Ошибки_цена[Ошибка-1],0)+1</f>
        <v>297</v>
      </c>
      <c r="P1" s="40">
        <f>MATCH(Ошибки_цена[[#Headers],[Ошибка-2]],Ошибки_цена[Ошибка-2],0)+1</f>
        <v>297</v>
      </c>
      <c r="Q1" s="40">
        <f>MATCH(Ошибки_цена[[#Headers],[Ошибка-3]],Ошибки_цена[Ошибка-3],0)+1</f>
        <v>297</v>
      </c>
      <c r="T1" s="135" t="s">
        <v>430</v>
      </c>
      <c r="U1" s="40">
        <f>Бланк!$U$3*Бланк!$W$3/10000</f>
        <v>160</v>
      </c>
      <c r="V1" s="40" t="s">
        <v>1075</v>
      </c>
      <c r="W1" s="135" t="s">
        <v>430</v>
      </c>
      <c r="X1" s="40">
        <f>Бланк!$U$19*Бланк!$W$19/10000</f>
        <v>160</v>
      </c>
      <c r="Z1" s="40" t="str">
        <f>V1</f>
        <v>Ошибка</v>
      </c>
      <c r="AA1" s="135" t="s">
        <v>430</v>
      </c>
      <c r="AB1" s="40">
        <f>Бланк!$U$35*Бланк!$W$35/10000</f>
        <v>160</v>
      </c>
    </row>
    <row r="2" spans="1:28" s="39" customFormat="1">
      <c r="S2" s="32"/>
      <c r="T2" s="40"/>
      <c r="U2" s="31"/>
      <c r="V2" s="32"/>
      <c r="W2" s="40"/>
      <c r="X2" s="31"/>
      <c r="Z2" s="32"/>
      <c r="AA2" s="40"/>
      <c r="AB2" s="31"/>
    </row>
    <row r="3" spans="1:28">
      <c r="A3" s="39">
        <v>1</v>
      </c>
      <c r="B3" s="120" t="s">
        <v>82</v>
      </c>
      <c r="C3" s="121" t="s">
        <v>305</v>
      </c>
      <c r="D3" s="122" t="s">
        <v>412</v>
      </c>
      <c r="E3" s="122" t="s">
        <v>413</v>
      </c>
      <c r="F3" s="122" t="s">
        <v>414</v>
      </c>
      <c r="G3" s="122" t="s">
        <v>415</v>
      </c>
      <c r="H3" s="122" t="s">
        <v>416</v>
      </c>
      <c r="I3" s="122" t="s">
        <v>417</v>
      </c>
      <c r="J3" s="123" t="s">
        <v>418</v>
      </c>
      <c r="K3" s="122" t="s">
        <v>441</v>
      </c>
      <c r="L3" s="592"/>
      <c r="M3" s="598">
        <v>1</v>
      </c>
      <c r="N3" s="122" t="s">
        <v>82</v>
      </c>
      <c r="O3" s="591" t="s">
        <v>1076</v>
      </c>
      <c r="P3" s="591" t="s">
        <v>1077</v>
      </c>
      <c r="Q3" s="591" t="s">
        <v>1078</v>
      </c>
      <c r="S3" s="32">
        <f>Цена!A3</f>
        <v>1</v>
      </c>
      <c r="T3" s="95" t="s">
        <v>302</v>
      </c>
      <c r="U3" s="100">
        <f>IF(OR(Бланк!U3="",Бланк!W3="",Бланк!U3=0,Бланк!W3=0,),1/0,SUM(U9:U32,U36:U38,U39:U298))</f>
        <v>0</v>
      </c>
      <c r="V3" s="32">
        <f t="shared" ref="V3:V35" si="0">A3</f>
        <v>1</v>
      </c>
      <c r="W3" s="95" t="s">
        <v>303</v>
      </c>
      <c r="X3" s="100">
        <f>IF(OR(Бланк!U19="",Бланк!W19="",Бланк!U19=0,Бланк!W19=0),1/0,SUM(X9:X32,X36:X38,X39:X297))</f>
        <v>0</v>
      </c>
      <c r="Z3" s="32">
        <f t="shared" ref="Z3:Z60" si="1">S3</f>
        <v>1</v>
      </c>
      <c r="AA3" s="95" t="s">
        <v>304</v>
      </c>
      <c r="AB3" s="100">
        <f>IF(OR(Бланк!U35="",Бланк!W35="",Бланк!U35=0,Бланк!W35=0),1/0,SUM(AB9:AB32,AB36:AB38,AB39:AB297))</f>
        <v>0</v>
      </c>
    </row>
    <row r="4" spans="1:28">
      <c r="A4" s="39">
        <f>A3+1</f>
        <v>2</v>
      </c>
      <c r="B4" s="124" t="s">
        <v>354</v>
      </c>
      <c r="C4" s="43" t="s">
        <v>355</v>
      </c>
      <c r="D4" s="480">
        <v>160</v>
      </c>
      <c r="E4" s="480">
        <v>176</v>
      </c>
      <c r="F4" s="480">
        <v>244</v>
      </c>
      <c r="G4" s="480">
        <v>170</v>
      </c>
      <c r="H4" s="480">
        <v>187</v>
      </c>
      <c r="I4" s="480">
        <v>212</v>
      </c>
      <c r="J4" s="481">
        <v>254</v>
      </c>
      <c r="K4" s="147"/>
      <c r="L4" s="75"/>
      <c r="M4" s="75">
        <f>M3+1</f>
        <v>2</v>
      </c>
      <c r="N4" s="593" t="str">
        <f>Цены[[#This Row],[Столбец1]]</f>
        <v>цена</v>
      </c>
      <c r="O4" s="75" t="str">
        <f t="shared" ref="O4:O36" si="2">IF(U4=$V$1,"Ошибка-1","")</f>
        <v/>
      </c>
      <c r="P4" s="75" t="str">
        <f t="shared" ref="P4:P36" si="3">IF(X4=$V$1,"Ошибка-2","")</f>
        <v/>
      </c>
      <c r="Q4" s="41" t="str">
        <f t="shared" ref="Q4:Q36" si="4">IF(AB4=$V$1,"Ошибка-3","")</f>
        <v/>
      </c>
      <c r="S4" s="32">
        <f>Цена!A4</f>
        <v>2</v>
      </c>
      <c r="V4" s="32">
        <f t="shared" si="0"/>
        <v>2</v>
      </c>
      <c r="Z4" s="32">
        <f t="shared" si="1"/>
        <v>2</v>
      </c>
    </row>
    <row r="5" spans="1:28" s="39" customFormat="1" ht="15.75">
      <c r="A5" s="39">
        <f t="shared" ref="A5:A124" si="5">A4+1</f>
        <v>3</v>
      </c>
      <c r="B5" s="141" t="s">
        <v>357</v>
      </c>
      <c r="C5" s="9" t="s">
        <v>437</v>
      </c>
      <c r="D5" s="15"/>
      <c r="E5" s="15">
        <v>4</v>
      </c>
      <c r="F5" s="15">
        <v>4</v>
      </c>
      <c r="G5" s="15"/>
      <c r="H5" s="15">
        <v>4</v>
      </c>
      <c r="I5" s="15">
        <v>4</v>
      </c>
      <c r="J5" s="119">
        <v>4</v>
      </c>
      <c r="K5" s="118"/>
      <c r="L5" s="75"/>
      <c r="M5" s="75">
        <f t="shared" ref="M5:M21" si="6">M4+1</f>
        <v>3</v>
      </c>
      <c r="N5" s="593" t="str">
        <f>Цены[[#This Row],[Столбец1]]</f>
        <v>отсутст. ст-ть замков</v>
      </c>
      <c r="O5" s="75" t="str">
        <f t="shared" si="2"/>
        <v/>
      </c>
      <c r="P5" s="75" t="str">
        <f t="shared" si="3"/>
        <v/>
      </c>
      <c r="Q5" s="41" t="str">
        <f t="shared" si="4"/>
        <v/>
      </c>
      <c r="S5" s="32">
        <f>Цена!A5</f>
        <v>3</v>
      </c>
      <c r="T5" s="10" t="s">
        <v>349</v>
      </c>
      <c r="U5" s="96" t="str">
        <f>IF(Бланк!$S$4=T5,HLOOKUP(Бланк!$M$2,Цены[#All],S5,0),"")</f>
        <v/>
      </c>
      <c r="V5" s="32">
        <f t="shared" si="0"/>
        <v>3</v>
      </c>
      <c r="W5" s="10" t="s">
        <v>349</v>
      </c>
      <c r="X5" s="96" t="str">
        <f>IF(Бланк!$S$20=W5,HLOOKUP(Бланк!$M$18,Цены[#All],V5,0),"")</f>
        <v/>
      </c>
      <c r="Z5" s="32">
        <f t="shared" si="1"/>
        <v>3</v>
      </c>
      <c r="AA5" s="10" t="str">
        <f>T5</f>
        <v>2-х створ.</v>
      </c>
      <c r="AB5" s="96" t="str">
        <f>IF(Бланк!$S$36=AA5,HLOOKUP(Бланк!$M$34,Цены[#All],Z5,0),"")</f>
        <v/>
      </c>
    </row>
    <row r="6" spans="1:28" s="39" customFormat="1" ht="15.75">
      <c r="A6" s="39">
        <f t="shared" si="5"/>
        <v>4</v>
      </c>
      <c r="B6" s="142"/>
      <c r="C6" s="9" t="s">
        <v>436</v>
      </c>
      <c r="D6" s="15">
        <v>10</v>
      </c>
      <c r="E6" s="15">
        <v>12</v>
      </c>
      <c r="F6" s="15">
        <v>12</v>
      </c>
      <c r="G6" s="15">
        <v>10</v>
      </c>
      <c r="H6" s="15">
        <v>12</v>
      </c>
      <c r="I6" s="15">
        <v>12</v>
      </c>
      <c r="J6" s="119">
        <v>14</v>
      </c>
      <c r="K6" s="118"/>
      <c r="L6" s="75"/>
      <c r="M6" s="75">
        <f t="shared" si="6"/>
        <v>4</v>
      </c>
      <c r="N6" s="593">
        <f>Цены[[#This Row],[Столбец1]]</f>
        <v>0</v>
      </c>
      <c r="O6" s="75" t="str">
        <f t="shared" si="2"/>
        <v/>
      </c>
      <c r="P6" s="75" t="str">
        <f t="shared" si="3"/>
        <v/>
      </c>
      <c r="Q6" s="41" t="str">
        <f t="shared" si="4"/>
        <v/>
      </c>
      <c r="S6" s="32">
        <f>Цена!A6</f>
        <v>4</v>
      </c>
      <c r="T6" s="10" t="s">
        <v>349</v>
      </c>
      <c r="U6" s="96" t="str">
        <f>IF(Бланк!$S$4=T6,HLOOKUP(Бланк!$M$2,Цены[#All],S6,0),"")</f>
        <v/>
      </c>
      <c r="V6" s="32">
        <f t="shared" si="0"/>
        <v>4</v>
      </c>
      <c r="W6" s="10" t="s">
        <v>349</v>
      </c>
      <c r="X6" s="96" t="str">
        <f>IF(Бланк!$S$20=W6,HLOOKUP(Бланк!$M$18,Цены[#All],V6,0),"")</f>
        <v/>
      </c>
      <c r="Z6" s="32">
        <f t="shared" si="1"/>
        <v>4</v>
      </c>
      <c r="AA6" s="10" t="str">
        <f>T6</f>
        <v>2-х створ.</v>
      </c>
      <c r="AB6" s="96" t="str">
        <f>IF(Бланк!$S$36=AA6,HLOOKUP(Бланк!$M$34,Цены[#All],Z6,0),"")</f>
        <v/>
      </c>
    </row>
    <row r="7" spans="1:28" s="39" customFormat="1" ht="15.75">
      <c r="A7" s="39">
        <f t="shared" si="5"/>
        <v>5</v>
      </c>
      <c r="B7" s="142"/>
      <c r="C7" s="9" t="s">
        <v>438</v>
      </c>
      <c r="D7" s="15"/>
      <c r="E7" s="15"/>
      <c r="F7" s="15"/>
      <c r="G7" s="15"/>
      <c r="H7" s="15"/>
      <c r="I7" s="15"/>
      <c r="J7" s="119"/>
      <c r="K7" s="118"/>
      <c r="L7" s="75"/>
      <c r="M7" s="75">
        <f t="shared" si="6"/>
        <v>5</v>
      </c>
      <c r="N7" s="593">
        <f>Цены[[#This Row],[Столбец1]]</f>
        <v>0</v>
      </c>
      <c r="O7" s="75" t="str">
        <f t="shared" si="2"/>
        <v/>
      </c>
      <c r="P7" s="75" t="str">
        <f t="shared" si="3"/>
        <v/>
      </c>
      <c r="Q7" s="41" t="str">
        <f t="shared" si="4"/>
        <v/>
      </c>
      <c r="S7" s="32">
        <f>Цена!A7</f>
        <v>5</v>
      </c>
      <c r="T7" s="10" t="s">
        <v>349</v>
      </c>
      <c r="U7" s="96" t="str">
        <f>IF(Бланк!$S$4=T7,SUM(U181:U244),"")</f>
        <v/>
      </c>
      <c r="V7" s="32">
        <f t="shared" si="0"/>
        <v>5</v>
      </c>
      <c r="W7" s="10" t="s">
        <v>349</v>
      </c>
      <c r="X7" s="96" t="str">
        <f>IF(Бланк!$S$20=W7,SUM(X181:X244),"")</f>
        <v/>
      </c>
      <c r="Z7" s="32">
        <f t="shared" si="1"/>
        <v>5</v>
      </c>
      <c r="AA7" s="10" t="str">
        <f>T7</f>
        <v>2-х створ.</v>
      </c>
      <c r="AB7" s="96" t="str">
        <f>IF(Бланк!$S$36=AA7,SUM(AB181:AB244),"")</f>
        <v/>
      </c>
    </row>
    <row r="8" spans="1:28" s="39" customFormat="1" ht="15.75">
      <c r="A8" s="39">
        <f t="shared" si="5"/>
        <v>6</v>
      </c>
      <c r="B8" s="142"/>
      <c r="C8" s="9" t="s">
        <v>476</v>
      </c>
      <c r="D8" s="15"/>
      <c r="E8" s="15"/>
      <c r="F8" s="15"/>
      <c r="G8" s="15"/>
      <c r="H8" s="15"/>
      <c r="I8" s="15"/>
      <c r="J8" s="119"/>
      <c r="K8" s="165"/>
      <c r="L8" s="583"/>
      <c r="M8" s="75">
        <f t="shared" si="6"/>
        <v>6</v>
      </c>
      <c r="N8" s="594">
        <f>Цены[[#This Row],[Столбец1]]</f>
        <v>0</v>
      </c>
      <c r="O8" s="75" t="str">
        <f t="shared" si="2"/>
        <v/>
      </c>
      <c r="P8" s="583" t="str">
        <f t="shared" si="3"/>
        <v/>
      </c>
      <c r="Q8" s="41" t="str">
        <f t="shared" si="4"/>
        <v/>
      </c>
      <c r="S8" s="32">
        <f>Цена!A8</f>
        <v>6</v>
      </c>
      <c r="T8" s="10" t="s">
        <v>349</v>
      </c>
      <c r="U8" s="96">
        <f>SUM(U27:U30,U43,U44,(U247:U276))</f>
        <v>0</v>
      </c>
      <c r="V8" s="32">
        <f t="shared" si="0"/>
        <v>6</v>
      </c>
      <c r="W8" s="10" t="s">
        <v>349</v>
      </c>
      <c r="X8" s="96">
        <f>SUM(X27:X29,X43,X44,(X247:X276))</f>
        <v>0</v>
      </c>
      <c r="Z8" s="32">
        <f>S8</f>
        <v>6</v>
      </c>
      <c r="AA8" s="10" t="str">
        <f>T8</f>
        <v>2-х створ.</v>
      </c>
      <c r="AB8" s="96">
        <f>SUM(AB27:AB29,AB43,AB44,(AB247:AB276))</f>
        <v>0</v>
      </c>
    </row>
    <row r="9" spans="1:28" s="39" customFormat="1" ht="15.75">
      <c r="A9" s="39">
        <f t="shared" si="5"/>
        <v>7</v>
      </c>
      <c r="B9" s="117" t="s">
        <v>321</v>
      </c>
      <c r="C9" s="112" t="s">
        <v>334</v>
      </c>
      <c r="D9" s="112">
        <v>2</v>
      </c>
      <c r="E9" s="112">
        <v>2</v>
      </c>
      <c r="F9" s="112">
        <v>3</v>
      </c>
      <c r="G9" s="112">
        <v>2</v>
      </c>
      <c r="H9" s="112">
        <v>2</v>
      </c>
      <c r="I9" s="112">
        <v>3</v>
      </c>
      <c r="J9" s="118">
        <v>3</v>
      </c>
      <c r="K9" s="118"/>
      <c r="L9" s="75"/>
      <c r="M9" s="75">
        <f t="shared" si="6"/>
        <v>7</v>
      </c>
      <c r="N9" s="593" t="str">
        <f>Цены[[#This Row],[Столбец1]]</f>
        <v>S доп.</v>
      </c>
      <c r="O9" s="75" t="str">
        <f t="shared" si="2"/>
        <v/>
      </c>
      <c r="P9" s="75" t="str">
        <f t="shared" si="3"/>
        <v/>
      </c>
      <c r="Q9" s="41" t="str">
        <f t="shared" si="4"/>
        <v/>
      </c>
      <c r="S9" s="32">
        <f>Цена!A9</f>
        <v>7</v>
      </c>
      <c r="T9" s="10" t="str">
        <f>Цена!C9</f>
        <v>S доп.=</v>
      </c>
      <c r="U9" s="96">
        <f>IF(Бланк!$R$4=T33,"",IF(Бланк!$W$4=T9,Бланк!$X$4*HLOOKUP(Бланк!$M$2,Цены[#All],S9,0),))</f>
        <v>0</v>
      </c>
      <c r="V9" s="32">
        <f t="shared" si="0"/>
        <v>7</v>
      </c>
      <c r="W9" s="10" t="str">
        <f>T9</f>
        <v>S доп.=</v>
      </c>
      <c r="X9" s="96">
        <f>IF(Бланк!R20=W33,"",IF(Бланк!W20=W9,Бланк!$X$20*HLOOKUP(Бланк!$M$18,Цены[#All],V9,0),))</f>
        <v>0</v>
      </c>
      <c r="Z9" s="32">
        <f t="shared" si="1"/>
        <v>7</v>
      </c>
      <c r="AA9" s="10" t="str">
        <f t="shared" ref="AA9:AA117" si="7">T9</f>
        <v>S доп.=</v>
      </c>
      <c r="AB9" s="96">
        <f>IF(Бланк!R36=AA33,"",IF(Бланк!$W$36=AA9,Бланк!$X$36*HLOOKUP(Бланк!$M$34,Цены[#All],Z9,0),))</f>
        <v>0</v>
      </c>
    </row>
    <row r="10" spans="1:28" s="39" customFormat="1" ht="15.75">
      <c r="A10" s="39">
        <f t="shared" si="5"/>
        <v>8</v>
      </c>
      <c r="B10" s="125" t="s">
        <v>460</v>
      </c>
      <c r="C10" s="9"/>
      <c r="D10" s="300">
        <v>-1</v>
      </c>
      <c r="E10" s="269">
        <f>Цены[[#This Row],[О_0]]</f>
        <v>-1</v>
      </c>
      <c r="F10" s="300">
        <v>-1.5</v>
      </c>
      <c r="G10" s="269">
        <f>Цены[[#This Row],[О_0]]</f>
        <v>-1</v>
      </c>
      <c r="H10" s="269">
        <f>Цены[[#This Row],[О_1]]</f>
        <v>-1</v>
      </c>
      <c r="I10" s="269">
        <f>Цены[[#This Row],[М_1]]</f>
        <v>-1</v>
      </c>
      <c r="J10" s="118">
        <f>Цены[[#This Row],[О_2]]</f>
        <v>-1.5</v>
      </c>
      <c r="K10" s="118"/>
      <c r="L10" s="75"/>
      <c r="M10" s="75">
        <f t="shared" si="6"/>
        <v>8</v>
      </c>
      <c r="N10" s="593" t="str">
        <f>Цены[[#This Row],[Столбец1]]</f>
        <v>уменьш-е S двери</v>
      </c>
      <c r="O10" s="75" t="str">
        <f t="shared" si="2"/>
        <v/>
      </c>
      <c r="P10" s="75" t="str">
        <f t="shared" si="3"/>
        <v/>
      </c>
      <c r="Q10" s="41" t="str">
        <f t="shared" si="4"/>
        <v/>
      </c>
      <c r="S10" s="32">
        <f>Цена!A10</f>
        <v>8</v>
      </c>
      <c r="T10" s="10"/>
      <c r="U10" s="96" t="str">
        <f>IF(U1&lt;150,HLOOKUP(Бланк!$M$2,Цены[#All],S10,0),"")</f>
        <v/>
      </c>
      <c r="V10" s="32">
        <f t="shared" si="0"/>
        <v>8</v>
      </c>
      <c r="W10" s="10"/>
      <c r="X10" s="96" t="str">
        <f>IF(X1&lt;150,HLOOKUP(Бланк!$M$18,Цены[#All],V10,0),"")</f>
        <v/>
      </c>
      <c r="Z10" s="32">
        <f t="shared" si="1"/>
        <v>8</v>
      </c>
      <c r="AA10" s="10"/>
      <c r="AB10" s="96" t="str">
        <f>IF(AB1&lt;150,HLOOKUP(Бланк!$M$34,Цены[#All],Z10,0),"")</f>
        <v/>
      </c>
    </row>
    <row r="11" spans="1:28" ht="15.75">
      <c r="A11" s="39">
        <f t="shared" si="5"/>
        <v>9</v>
      </c>
      <c r="B11" s="126" t="s">
        <v>791</v>
      </c>
      <c r="C11" s="10" t="s">
        <v>762</v>
      </c>
      <c r="D11" s="112"/>
      <c r="E11" s="112"/>
      <c r="F11" s="112"/>
      <c r="G11" s="112"/>
      <c r="H11" s="258"/>
      <c r="I11" s="118"/>
      <c r="J11" s="40" t="s">
        <v>1075</v>
      </c>
      <c r="K11" s="118"/>
      <c r="L11" s="75"/>
      <c r="M11" s="75">
        <f t="shared" si="6"/>
        <v>9</v>
      </c>
      <c r="N11" s="593" t="str">
        <f>Цены[[#This Row],[Столбец1]]</f>
        <v>Металл снаружи</v>
      </c>
      <c r="O11" s="75" t="str">
        <f t="shared" si="2"/>
        <v/>
      </c>
      <c r="P11" s="75" t="str">
        <f t="shared" si="3"/>
        <v/>
      </c>
      <c r="Q11" s="41" t="str">
        <f t="shared" si="4"/>
        <v/>
      </c>
      <c r="S11" s="32">
        <f>Цена!A11</f>
        <v>9</v>
      </c>
      <c r="T11" s="10" t="str">
        <f>Цена!C11</f>
        <v>1,0 мм.</v>
      </c>
      <c r="U11" s="97" t="str">
        <f>IF(Бланк!M2="Индивид.","",IF(Бланк!$H$9=T11,HLOOKUP(Бланк!$M$2,Цены[#All],S11,0),""))</f>
        <v/>
      </c>
      <c r="V11" s="32">
        <f t="shared" si="0"/>
        <v>9</v>
      </c>
      <c r="W11" s="10" t="str">
        <f t="shared" ref="W11:W120" si="8">T11</f>
        <v>1,0 мм.</v>
      </c>
      <c r="X11" s="97" t="str">
        <f>IF(Бланк!$H$25=W11,HLOOKUP(Бланк!$M$18,Цены[#All],V11,0),"")</f>
        <v/>
      </c>
      <c r="Z11" s="32">
        <f t="shared" si="1"/>
        <v>9</v>
      </c>
      <c r="AA11" s="10" t="str">
        <f t="shared" si="7"/>
        <v>1,0 мм.</v>
      </c>
      <c r="AB11" s="97" t="str">
        <f>IF(Бланк!$H$41=AA11,HLOOKUP(Бланк!$M$34,Цены[#All],Z11,0),"")</f>
        <v/>
      </c>
    </row>
    <row r="12" spans="1:28" ht="15.75">
      <c r="A12" s="39">
        <f t="shared" si="5"/>
        <v>10</v>
      </c>
      <c r="B12" s="117"/>
      <c r="C12" s="112" t="s">
        <v>761</v>
      </c>
      <c r="D12" s="40" t="s">
        <v>1075</v>
      </c>
      <c r="E12" s="40" t="s">
        <v>1075</v>
      </c>
      <c r="F12" s="40" t="s">
        <v>1075</v>
      </c>
      <c r="G12" s="40" t="s">
        <v>1075</v>
      </c>
      <c r="H12" s="40" t="s">
        <v>1075</v>
      </c>
      <c r="I12" s="40" t="s">
        <v>1075</v>
      </c>
      <c r="J12" s="40" t="s">
        <v>1075</v>
      </c>
      <c r="K12" s="118"/>
      <c r="L12" s="75"/>
      <c r="M12" s="75">
        <f t="shared" si="6"/>
        <v>10</v>
      </c>
      <c r="N12" s="593" t="s">
        <v>791</v>
      </c>
      <c r="O12" s="75" t="str">
        <f t="shared" si="2"/>
        <v/>
      </c>
      <c r="P12" s="75" t="str">
        <f t="shared" si="3"/>
        <v/>
      </c>
      <c r="Q12" s="41" t="str">
        <f t="shared" si="4"/>
        <v/>
      </c>
      <c r="S12" s="32">
        <f>Цена!A12</f>
        <v>10</v>
      </c>
      <c r="T12" s="10" t="str">
        <f>Цена!C12</f>
        <v>1,2 мм.</v>
      </c>
      <c r="U12" s="97" t="str">
        <f>IF(Бланк!M3="Индивид.","",IF(Бланк!$I$9=T12,HLOOKUP(Бланк!$M$2,Цены[#All],S12,0),""))</f>
        <v/>
      </c>
      <c r="V12" s="32">
        <f t="shared" si="0"/>
        <v>10</v>
      </c>
      <c r="W12" s="10" t="str">
        <f t="shared" si="8"/>
        <v>1,2 мм.</v>
      </c>
      <c r="X12" s="97" t="str">
        <f>IF(Бланк!$I$25=W12,HLOOKUP(Бланк!$M$18,Цены[#All],V12,0),"")</f>
        <v/>
      </c>
      <c r="Z12" s="32">
        <f t="shared" si="1"/>
        <v>10</v>
      </c>
      <c r="AA12" s="10" t="str">
        <f t="shared" si="7"/>
        <v>1,2 мм.</v>
      </c>
      <c r="AB12" s="97" t="str">
        <f>IF(Бланк!$I$41=AA12,HLOOKUP(Бланк!$M$34,Цены[#All],Z12,0),"")</f>
        <v/>
      </c>
    </row>
    <row r="13" spans="1:28" ht="15.75">
      <c r="A13" s="39">
        <f t="shared" si="5"/>
        <v>11</v>
      </c>
      <c r="B13" s="117" t="s">
        <v>306</v>
      </c>
      <c r="C13" s="364" t="s">
        <v>763</v>
      </c>
      <c r="D13" s="40" t="s">
        <v>1075</v>
      </c>
      <c r="E13" s="40" t="s">
        <v>1075</v>
      </c>
      <c r="F13" s="40" t="s">
        <v>1075</v>
      </c>
      <c r="G13" s="300">
        <v>25</v>
      </c>
      <c r="H13" s="482">
        <f>Цены[[#This Row],[М_0]]</f>
        <v>25</v>
      </c>
      <c r="I13" s="522">
        <f>Цены[[#This Row],[М_1]]</f>
        <v>25</v>
      </c>
      <c r="J13" s="522">
        <f>Цены[[#This Row],[М_2]]</f>
        <v>25</v>
      </c>
      <c r="K13" s="118"/>
      <c r="L13" s="75"/>
      <c r="M13" s="75">
        <f t="shared" si="6"/>
        <v>11</v>
      </c>
      <c r="N13" s="593" t="s">
        <v>791</v>
      </c>
      <c r="O13" s="75" t="str">
        <f t="shared" si="2"/>
        <v/>
      </c>
      <c r="P13" s="75" t="str">
        <f t="shared" si="3"/>
        <v/>
      </c>
      <c r="Q13" s="41" t="str">
        <f t="shared" si="4"/>
        <v/>
      </c>
      <c r="S13" s="32">
        <f>Цена!A13</f>
        <v>11</v>
      </c>
      <c r="T13" s="10" t="str">
        <f>Цена!C13</f>
        <v>1,5 мм.</v>
      </c>
      <c r="U13" s="97" t="str">
        <f>IF(Бланк!$P$2=T13,HLOOKUP(Бланк!$M$2,Цены[#All],S13,0),"")</f>
        <v/>
      </c>
      <c r="V13" s="32">
        <f t="shared" si="0"/>
        <v>11</v>
      </c>
      <c r="W13" s="10" t="str">
        <f t="shared" si="8"/>
        <v>1,5 мм.</v>
      </c>
      <c r="X13" s="97" t="str">
        <f>IF(Бланк!$P$18=W13,HLOOKUP(Бланк!$M$18,Цены[#All],V13,0),"")</f>
        <v/>
      </c>
      <c r="Z13" s="32">
        <f t="shared" si="1"/>
        <v>11</v>
      </c>
      <c r="AA13" s="10" t="str">
        <f t="shared" si="7"/>
        <v>1,5 мм.</v>
      </c>
      <c r="AB13" s="97" t="str">
        <f>IF(Бланк!$P$34=AA13,HLOOKUP(Бланк!$M$34,Цены[#All],Z13,0),"")</f>
        <v/>
      </c>
    </row>
    <row r="14" spans="1:28" s="39" customFormat="1" ht="15.75">
      <c r="A14" s="39">
        <f t="shared" si="5"/>
        <v>12</v>
      </c>
      <c r="B14" s="117"/>
      <c r="C14" s="4" t="s">
        <v>761</v>
      </c>
      <c r="D14" s="40" t="s">
        <v>1075</v>
      </c>
      <c r="E14" s="40" t="s">
        <v>1075</v>
      </c>
      <c r="F14" s="40" t="s">
        <v>1075</v>
      </c>
      <c r="G14" s="229"/>
      <c r="H14" s="15"/>
      <c r="I14" s="40" t="s">
        <v>1075</v>
      </c>
      <c r="J14" s="119"/>
      <c r="K14" s="165"/>
      <c r="L14" s="583"/>
      <c r="M14" s="75">
        <f t="shared" si="6"/>
        <v>12</v>
      </c>
      <c r="N14" s="593" t="s">
        <v>791</v>
      </c>
      <c r="O14" s="75" t="str">
        <f t="shared" si="2"/>
        <v/>
      </c>
      <c r="P14" s="583" t="str">
        <f t="shared" si="3"/>
        <v/>
      </c>
      <c r="Q14" s="41" t="str">
        <f t="shared" si="4"/>
        <v/>
      </c>
      <c r="S14" s="32">
        <f>Цена!A14</f>
        <v>12</v>
      </c>
      <c r="T14" s="10" t="str">
        <f>Цена!C14</f>
        <v>1,2 мм.</v>
      </c>
      <c r="U14" s="97" t="str">
        <f>IF(Бланк!$P$2=T14,HLOOKUP(Бланк!$M$2,Цены[#All],S14,0),"")</f>
        <v/>
      </c>
      <c r="V14" s="32">
        <f t="shared" si="0"/>
        <v>12</v>
      </c>
      <c r="W14" s="10" t="str">
        <f>T14</f>
        <v>1,2 мм.</v>
      </c>
      <c r="X14" s="97" t="str">
        <f>IF(Бланк!$P$18=W14,HLOOKUP(Бланк!$M$18,Цены[#All],V14,0),"")</f>
        <v/>
      </c>
      <c r="Z14" s="32">
        <f>S14</f>
        <v>12</v>
      </c>
      <c r="AA14" s="10" t="str">
        <f>T14</f>
        <v>1,2 мм.</v>
      </c>
      <c r="AB14" s="97" t="str">
        <f>IF(Бланк!$P$34=AA14,HLOOKUP(Бланк!$M$34,Цены[#All],Z14,0),"")</f>
        <v/>
      </c>
    </row>
    <row r="15" spans="1:28" s="39" customFormat="1" ht="15.75">
      <c r="A15" s="39">
        <f t="shared" si="5"/>
        <v>13</v>
      </c>
      <c r="B15" s="117"/>
      <c r="C15" s="10" t="s">
        <v>762</v>
      </c>
      <c r="D15" s="233"/>
      <c r="E15" s="233"/>
      <c r="F15" s="233"/>
      <c r="G15" s="300">
        <v>-8</v>
      </c>
      <c r="H15" s="233">
        <f>Цены[[#This Row],[М_0]]</f>
        <v>-8</v>
      </c>
      <c r="I15" s="511">
        <f>Цены[[#This Row],[М_1]]</f>
        <v>-8</v>
      </c>
      <c r="J15" s="40" t="s">
        <v>1075</v>
      </c>
      <c r="K15" s="118"/>
      <c r="L15" s="75"/>
      <c r="M15" s="75">
        <f t="shared" si="6"/>
        <v>13</v>
      </c>
      <c r="N15" s="593" t="s">
        <v>791</v>
      </c>
      <c r="O15" s="75" t="str">
        <f t="shared" si="2"/>
        <v/>
      </c>
      <c r="P15" s="75" t="str">
        <f t="shared" si="3"/>
        <v/>
      </c>
      <c r="Q15" s="41" t="str">
        <f t="shared" si="4"/>
        <v/>
      </c>
      <c r="S15" s="32">
        <f>Цена!A15</f>
        <v>13</v>
      </c>
      <c r="T15" s="10" t="str">
        <f>Цена!C15</f>
        <v>1,0 мм.</v>
      </c>
      <c r="U15" s="97" t="str">
        <f>IF(Бланк!$P$2=T15,HLOOKUP(Бланк!$M$2,Цены[#All],S15,0),"")</f>
        <v/>
      </c>
      <c r="V15" s="32">
        <f t="shared" si="0"/>
        <v>13</v>
      </c>
      <c r="W15" s="10" t="str">
        <f>T15</f>
        <v>1,0 мм.</v>
      </c>
      <c r="X15" s="97" t="str">
        <f>IF(Бланк!$P$18=W15,HLOOKUP(Бланк!$M$18,Цены[#All],V15,0),"")</f>
        <v/>
      </c>
      <c r="Z15" s="32">
        <f>S15</f>
        <v>13</v>
      </c>
      <c r="AA15" s="10" t="str">
        <f>T15</f>
        <v>1,0 мм.</v>
      </c>
      <c r="AB15" s="97" t="str">
        <f>IF(Бланк!$P$34=AA15,HLOOKUP(Бланк!$M$34,Цены[#All],Z15,0),"")</f>
        <v/>
      </c>
    </row>
    <row r="16" spans="1:28" ht="15.75">
      <c r="A16" s="39">
        <f t="shared" si="5"/>
        <v>14</v>
      </c>
      <c r="B16" s="117" t="s">
        <v>57</v>
      </c>
      <c r="C16" s="10" t="s">
        <v>762</v>
      </c>
      <c r="D16" s="300">
        <v>31</v>
      </c>
      <c r="E16" s="112">
        <f>Цены[[#This Row],[О_0]]</f>
        <v>31</v>
      </c>
      <c r="F16" s="40" t="s">
        <v>1075</v>
      </c>
      <c r="G16" s="15">
        <f>Цены[[#This Row],[О_0]]</f>
        <v>31</v>
      </c>
      <c r="H16" s="112">
        <f>Цены[[#This Row],[О_0]]</f>
        <v>31</v>
      </c>
      <c r="I16" s="40" t="s">
        <v>1075</v>
      </c>
      <c r="J16" s="40" t="s">
        <v>1075</v>
      </c>
      <c r="K16" s="118"/>
      <c r="L16" s="75"/>
      <c r="M16" s="75">
        <f t="shared" si="6"/>
        <v>14</v>
      </c>
      <c r="N16" s="593" t="s">
        <v>1089</v>
      </c>
      <c r="O16" s="75" t="str">
        <f t="shared" si="2"/>
        <v/>
      </c>
      <c r="P16" s="75" t="str">
        <f t="shared" si="3"/>
        <v/>
      </c>
      <c r="Q16" s="41" t="str">
        <f t="shared" si="4"/>
        <v/>
      </c>
      <c r="S16" s="32">
        <f>Цена!A16</f>
        <v>14</v>
      </c>
      <c r="T16" s="10" t="str">
        <f>Цена!C16</f>
        <v>1,0 мм.</v>
      </c>
      <c r="U16" s="97" t="str">
        <f>IF(AND(Бланк!M2="Индивид.",Бланк!M11=""),"",IF(Бланк!$H$11=T16,HLOOKUP(Бланк!$M$2,Цены[#All],S16,0),""))</f>
        <v/>
      </c>
      <c r="V16" s="32">
        <f t="shared" si="0"/>
        <v>14</v>
      </c>
      <c r="W16" s="10" t="str">
        <f t="shared" si="8"/>
        <v>1,0 мм.</v>
      </c>
      <c r="X16" s="97" t="str">
        <f>IF(Бланк!$H$27=W16,HLOOKUP(Бланк!$M$18,Цены[#All],V16,0),"")</f>
        <v/>
      </c>
      <c r="Z16" s="32">
        <f t="shared" si="1"/>
        <v>14</v>
      </c>
      <c r="AA16" s="10" t="str">
        <f t="shared" si="7"/>
        <v>1,0 мм.</v>
      </c>
      <c r="AB16" s="97" t="str">
        <f>IF(Бланк!$H$43=AA16,HLOOKUP(Бланк!$M$34,Цены[#All],Z16,0),"")</f>
        <v/>
      </c>
    </row>
    <row r="17" spans="1:28" ht="15.75">
      <c r="A17" s="39">
        <f t="shared" si="5"/>
        <v>15</v>
      </c>
      <c r="B17" s="117" t="s">
        <v>57</v>
      </c>
      <c r="C17" s="4" t="s">
        <v>766</v>
      </c>
      <c r="D17" s="300">
        <f>D16+9</f>
        <v>40</v>
      </c>
      <c r="E17" s="112">
        <f>Цены[[#This Row],[О_0]]</f>
        <v>40</v>
      </c>
      <c r="F17" s="40" t="s">
        <v>1075</v>
      </c>
      <c r="G17" s="112">
        <f>Цены[[#This Row],[О_0]]</f>
        <v>40</v>
      </c>
      <c r="H17" s="112">
        <f>Цены[[#This Row],[О_0]]</f>
        <v>40</v>
      </c>
      <c r="I17" s="40" t="s">
        <v>1075</v>
      </c>
      <c r="J17" s="40" t="s">
        <v>1075</v>
      </c>
      <c r="K17" s="118"/>
      <c r="L17" s="75"/>
      <c r="M17" s="75">
        <f t="shared" si="6"/>
        <v>15</v>
      </c>
      <c r="N17" s="593" t="s">
        <v>1089</v>
      </c>
      <c r="O17" s="75" t="str">
        <f t="shared" si="2"/>
        <v/>
      </c>
      <c r="P17" s="75" t="str">
        <f t="shared" si="3"/>
        <v/>
      </c>
      <c r="Q17" s="41" t="str">
        <f t="shared" si="4"/>
        <v/>
      </c>
      <c r="S17" s="32">
        <f>Цена!A17</f>
        <v>15</v>
      </c>
      <c r="T17" s="10" t="str">
        <f>Цена!C17</f>
        <v>1,0 + грунт</v>
      </c>
      <c r="U17" s="97" t="str">
        <f>IF(AND(Бланк!M2="Индивид.",Бланк!M11=""),"",IF(Бланк!$H$11=T17,HLOOKUP(Бланк!$M$2,Цены[#All],S17,0),""))</f>
        <v/>
      </c>
      <c r="V17" s="32">
        <f t="shared" si="0"/>
        <v>15</v>
      </c>
      <c r="W17" s="10" t="str">
        <f t="shared" si="8"/>
        <v>1,0 + грунт</v>
      </c>
      <c r="X17" s="97" t="str">
        <f>IF(Бланк!$H$27=W17,HLOOKUP(Бланк!$M$18,Цены[#All],V17,0),"")</f>
        <v/>
      </c>
      <c r="Z17" s="32">
        <f t="shared" si="1"/>
        <v>15</v>
      </c>
      <c r="AA17" s="10" t="str">
        <f t="shared" si="7"/>
        <v>1,0 + грунт</v>
      </c>
      <c r="AB17" s="97" t="str">
        <f>IF(Бланк!$H$43=AA17,HLOOKUP(Бланк!$M$34,Цены[#All],Z17,0),"")</f>
        <v/>
      </c>
    </row>
    <row r="18" spans="1:28" s="39" customFormat="1" ht="15.75">
      <c r="A18" s="39">
        <f t="shared" si="5"/>
        <v>16</v>
      </c>
      <c r="B18" s="117" t="s">
        <v>57</v>
      </c>
      <c r="C18" s="4" t="s">
        <v>761</v>
      </c>
      <c r="D18" s="184">
        <f>D16*1.2</f>
        <v>37.199999999999996</v>
      </c>
      <c r="E18" s="184">
        <f>E16*1.2</f>
        <v>37.199999999999996</v>
      </c>
      <c r="F18" s="40" t="s">
        <v>1075</v>
      </c>
      <c r="G18" s="184">
        <f>G16*1.2</f>
        <v>37.199999999999996</v>
      </c>
      <c r="H18" s="184">
        <f>H16*1.2</f>
        <v>37.199999999999996</v>
      </c>
      <c r="I18" s="40" t="s">
        <v>1075</v>
      </c>
      <c r="J18" s="40" t="s">
        <v>1075</v>
      </c>
      <c r="K18" s="118"/>
      <c r="L18" s="75"/>
      <c r="M18" s="75">
        <f t="shared" si="6"/>
        <v>16</v>
      </c>
      <c r="N18" s="593" t="s">
        <v>1089</v>
      </c>
      <c r="O18" s="75" t="str">
        <f t="shared" si="2"/>
        <v/>
      </c>
      <c r="P18" s="75" t="str">
        <f t="shared" si="3"/>
        <v/>
      </c>
      <c r="Q18" s="41" t="str">
        <f t="shared" si="4"/>
        <v/>
      </c>
      <c r="S18" s="32">
        <f>Цена!A18</f>
        <v>16</v>
      </c>
      <c r="T18" s="10" t="str">
        <f>Цена!C18</f>
        <v>1,2 мм.</v>
      </c>
      <c r="U18" s="97" t="str">
        <f>IF(AND(Бланк!M2="Индивид.",Бланк!M11=""),"",IF(Бланк!$H$11=T18,HLOOKUP(Бланк!$M$2,Цены[#All],S18,0),""))</f>
        <v/>
      </c>
      <c r="V18" s="32">
        <f t="shared" si="0"/>
        <v>16</v>
      </c>
      <c r="W18" s="10" t="str">
        <f>T18</f>
        <v>1,2 мм.</v>
      </c>
      <c r="X18" s="97" t="str">
        <f>IF(Бланк!$H$27=W18,HLOOKUP(Бланк!$M$18,Цены[#All],V18,0),"")</f>
        <v/>
      </c>
      <c r="Z18" s="32">
        <f t="shared" ref="Z18:AA21" si="9">S18</f>
        <v>16</v>
      </c>
      <c r="AA18" s="10" t="str">
        <f t="shared" si="9"/>
        <v>1,2 мм.</v>
      </c>
      <c r="AB18" s="97" t="str">
        <f>IF(Бланк!$H$43=AA18,HLOOKUP(Бланк!$M$34,Цены[#All],Z18,0),"")</f>
        <v/>
      </c>
    </row>
    <row r="19" spans="1:28" s="39" customFormat="1" ht="15.75">
      <c r="A19" s="39">
        <f t="shared" si="5"/>
        <v>17</v>
      </c>
      <c r="B19" s="117" t="s">
        <v>57</v>
      </c>
      <c r="C19" s="4" t="s">
        <v>767</v>
      </c>
      <c r="D19" s="300">
        <f>D18+9</f>
        <v>46.199999999999996</v>
      </c>
      <c r="E19" s="482">
        <f>Цены[[#This Row],[О_0]]</f>
        <v>46.199999999999996</v>
      </c>
      <c r="F19" s="40" t="s">
        <v>1075</v>
      </c>
      <c r="G19" s="482">
        <f>Цены[[#This Row],[О_1]]</f>
        <v>46.199999999999996</v>
      </c>
      <c r="H19" s="482">
        <f>Цены[[#This Row],[М_0]]</f>
        <v>46.199999999999996</v>
      </c>
      <c r="I19" s="40" t="s">
        <v>1075</v>
      </c>
      <c r="J19" s="40" t="s">
        <v>1075</v>
      </c>
      <c r="K19" s="118"/>
      <c r="L19" s="75"/>
      <c r="M19" s="75">
        <f t="shared" si="6"/>
        <v>17</v>
      </c>
      <c r="N19" s="593" t="s">
        <v>1089</v>
      </c>
      <c r="O19" s="75" t="str">
        <f t="shared" si="2"/>
        <v/>
      </c>
      <c r="P19" s="75" t="str">
        <f t="shared" si="3"/>
        <v/>
      </c>
      <c r="Q19" s="41" t="str">
        <f t="shared" si="4"/>
        <v/>
      </c>
      <c r="S19" s="32">
        <f>Цена!A19</f>
        <v>17</v>
      </c>
      <c r="T19" s="10" t="str">
        <f>Цена!C19</f>
        <v>1,2 + грунт</v>
      </c>
      <c r="U19" s="97" t="str">
        <f>IF(AND(Бланк!M2="Индивид.",Бланк!M11=""),"",IF(Бланк!$H$11=T19,HLOOKUP(Бланк!$M$2,Цены[#All],S19,0),""))</f>
        <v/>
      </c>
      <c r="V19" s="32">
        <f t="shared" si="0"/>
        <v>17</v>
      </c>
      <c r="W19" s="10" t="str">
        <f>T19</f>
        <v>1,2 + грунт</v>
      </c>
      <c r="X19" s="97" t="str">
        <f>IF(Бланк!$H$27=W19,HLOOKUP(Бланк!$M$18,Цены[#All],V19,0),"")</f>
        <v/>
      </c>
      <c r="Z19" s="32">
        <f t="shared" si="9"/>
        <v>17</v>
      </c>
      <c r="AA19" s="10" t="str">
        <f t="shared" si="9"/>
        <v>1,2 + грунт</v>
      </c>
      <c r="AB19" s="97" t="str">
        <f>IF(Бланк!$H$43=AA19,HLOOKUP(Бланк!$M$34,Цены[#All],Z19,0),"")</f>
        <v/>
      </c>
    </row>
    <row r="20" spans="1:28" s="39" customFormat="1" ht="15.75">
      <c r="A20" s="39">
        <f t="shared" si="5"/>
        <v>18</v>
      </c>
      <c r="B20" s="117" t="s">
        <v>57</v>
      </c>
      <c r="C20" s="4" t="s">
        <v>763</v>
      </c>
      <c r="D20" s="40" t="s">
        <v>1075</v>
      </c>
      <c r="E20" s="40" t="s">
        <v>1075</v>
      </c>
      <c r="F20" s="40" t="s">
        <v>1075</v>
      </c>
      <c r="G20" s="184">
        <f>G16*1.5</f>
        <v>46.5</v>
      </c>
      <c r="H20" s="184">
        <f>H16*1.5</f>
        <v>46.5</v>
      </c>
      <c r="I20" s="40" t="s">
        <v>1075</v>
      </c>
      <c r="J20" s="40" t="s">
        <v>1075</v>
      </c>
      <c r="K20" s="118"/>
      <c r="L20" s="75"/>
      <c r="M20" s="75">
        <f t="shared" si="6"/>
        <v>18</v>
      </c>
      <c r="N20" s="593" t="s">
        <v>1089</v>
      </c>
      <c r="O20" s="75" t="str">
        <f t="shared" si="2"/>
        <v/>
      </c>
      <c r="P20" s="75" t="str">
        <f t="shared" si="3"/>
        <v/>
      </c>
      <c r="Q20" s="41" t="str">
        <f t="shared" si="4"/>
        <v/>
      </c>
      <c r="S20" s="32">
        <f>Цена!A20</f>
        <v>18</v>
      </c>
      <c r="T20" s="10" t="str">
        <f>Цена!C20</f>
        <v>1,5 мм.</v>
      </c>
      <c r="U20" s="97" t="str">
        <f>IF(AND(Бланк!M2="Индивид.",Бланк!M11=""),"",IF(Бланк!$H$11=T20,HLOOKUP(Бланк!$M$2,Цены[#All],S20,0),""))</f>
        <v/>
      </c>
      <c r="V20" s="32">
        <f t="shared" si="0"/>
        <v>18</v>
      </c>
      <c r="W20" s="10" t="str">
        <f>T20</f>
        <v>1,5 мм.</v>
      </c>
      <c r="X20" s="97" t="str">
        <f>IF(Бланк!$H$27=W20,HLOOKUP(Бланк!$M$18,Цены[#All],V20,0),"")</f>
        <v/>
      </c>
      <c r="Z20" s="32">
        <f t="shared" si="9"/>
        <v>18</v>
      </c>
      <c r="AA20" s="10" t="str">
        <f t="shared" si="9"/>
        <v>1,5 мм.</v>
      </c>
      <c r="AB20" s="97" t="str">
        <f>IF(Бланк!$H$43=AA20,HLOOKUP(Бланк!$M$34,Цены[#All],Z20,0),"")</f>
        <v/>
      </c>
    </row>
    <row r="21" spans="1:28" s="39" customFormat="1" ht="15.75">
      <c r="A21" s="39">
        <f t="shared" si="5"/>
        <v>19</v>
      </c>
      <c r="B21" s="117" t="s">
        <v>57</v>
      </c>
      <c r="C21" s="4" t="s">
        <v>768</v>
      </c>
      <c r="D21" s="40" t="s">
        <v>1075</v>
      </c>
      <c r="E21" s="40" t="s">
        <v>1075</v>
      </c>
      <c r="F21" s="40" t="s">
        <v>1075</v>
      </c>
      <c r="G21" s="479">
        <f>G17*1.5</f>
        <v>60</v>
      </c>
      <c r="H21" s="40" t="s">
        <v>1075</v>
      </c>
      <c r="I21" s="40" t="s">
        <v>1075</v>
      </c>
      <c r="J21" s="40" t="s">
        <v>1075</v>
      </c>
      <c r="K21" s="118"/>
      <c r="L21" s="75"/>
      <c r="M21" s="75">
        <f t="shared" si="6"/>
        <v>19</v>
      </c>
      <c r="N21" s="594" t="s">
        <v>1089</v>
      </c>
      <c r="O21" s="583" t="str">
        <f t="shared" si="2"/>
        <v/>
      </c>
      <c r="P21" s="583" t="str">
        <f t="shared" si="3"/>
        <v/>
      </c>
      <c r="Q21" s="617" t="str">
        <f t="shared" si="4"/>
        <v/>
      </c>
      <c r="S21" s="32">
        <f>Цена!A21</f>
        <v>19</v>
      </c>
      <c r="T21" s="10" t="str">
        <f>Цена!C21</f>
        <v>1,5 + грунт</v>
      </c>
      <c r="U21" s="97" t="str">
        <f>IF(AND(Бланк!M2="Индивид.",Бланк!M11=""),"",IF(Бланк!$H$11=T21,HLOOKUP(Бланк!$M$2,Цены[#All],S21,0),""))</f>
        <v/>
      </c>
      <c r="V21" s="32">
        <f t="shared" si="0"/>
        <v>19</v>
      </c>
      <c r="W21" s="10" t="str">
        <f>T21</f>
        <v>1,5 + грунт</v>
      </c>
      <c r="X21" s="97" t="str">
        <f>IF(Бланк!$H$27=W21,HLOOKUP(Бланк!$M$18,Цены[#All],V21,0),"")</f>
        <v/>
      </c>
      <c r="Z21" s="32">
        <f t="shared" si="9"/>
        <v>19</v>
      </c>
      <c r="AA21" s="10" t="str">
        <f t="shared" si="9"/>
        <v>1,5 + грунт</v>
      </c>
      <c r="AB21" s="97" t="str">
        <f>IF(Бланк!$H$43=AA21,HLOOKUP(Бланк!$M$34,Цены[#All],Z21,0),"")</f>
        <v/>
      </c>
    </row>
    <row r="22" spans="1:28" ht="15.75">
      <c r="A22" s="39">
        <f t="shared" si="5"/>
        <v>20</v>
      </c>
      <c r="B22" s="124" t="s">
        <v>10</v>
      </c>
      <c r="C22" s="4" t="s">
        <v>320</v>
      </c>
      <c r="D22" s="40" t="s">
        <v>1075</v>
      </c>
      <c r="E22" s="40" t="s">
        <v>1075</v>
      </c>
      <c r="F22" s="40" t="s">
        <v>1075</v>
      </c>
      <c r="G22" s="40" t="s">
        <v>1075</v>
      </c>
      <c r="H22" s="40" t="s">
        <v>1075</v>
      </c>
      <c r="I22" s="300">
        <v>10</v>
      </c>
      <c r="J22" s="577">
        <f>Цены[[#This Row],[М_2]]</f>
        <v>10</v>
      </c>
      <c r="K22" s="118"/>
      <c r="L22" s="75"/>
      <c r="M22" s="75">
        <f>A22</f>
        <v>20</v>
      </c>
      <c r="N22" s="594" t="str">
        <f>Цены[[#This Row],[Столбец1]]</f>
        <v>контур</v>
      </c>
      <c r="O22" s="583" t="str">
        <f t="shared" si="2"/>
        <v/>
      </c>
      <c r="P22" s="583" t="str">
        <f t="shared" si="3"/>
        <v/>
      </c>
      <c r="Q22" s="617" t="str">
        <f t="shared" si="4"/>
        <v/>
      </c>
      <c r="S22" s="32">
        <f>Цена!A22</f>
        <v>20</v>
      </c>
      <c r="T22" s="10" t="str">
        <f>Цена!C22</f>
        <v>3-х конт.</v>
      </c>
      <c r="U22" s="97" t="str">
        <f>IF(OR(Бланк!R2="2-х конт.",AND(Бланк!M2="Индивид.",Бланк!M11="")),"",IF(OR(AND(Бланк!R2="3-х конт.",Бланк!X2="внутренняя"),AND(Бланк!R4="2-х створ.",Бланк!R2="3-х конт.")),$V$1,IF(Бланк!R2="3-х конт.",HLOOKUP(Бланк!$M$2,Цены[#All],S22,0),"")))</f>
        <v/>
      </c>
      <c r="V22" s="32">
        <f t="shared" si="0"/>
        <v>20</v>
      </c>
      <c r="W22" s="10" t="str">
        <f t="shared" si="8"/>
        <v>3-х конт.</v>
      </c>
      <c r="X22" s="97" t="str">
        <f>IF(OR(AND(Бланк!R18="3-х конт.",Бланк!R20="2-х створ."),AND(Бланк!R18="3-х конт.",Бланк!X18="внутренняя"),),Z1,IF(Бланк!R18="3-х конт.",HLOOKUP(Бланк!$M$18,Цены[#All],V22,0),""))</f>
        <v/>
      </c>
      <c r="Z22" s="32">
        <f t="shared" si="1"/>
        <v>20</v>
      </c>
      <c r="AA22" s="10" t="str">
        <f t="shared" si="7"/>
        <v>3-х конт.</v>
      </c>
      <c r="AB22" s="97" t="str">
        <f>IF(OR(AND(Бланк!R34="3-х конт.",Бланк!R36="2-х створ."),AND(Бланк!R34="3-х конт.",Бланк!X34="внутренняя"),),Z1,IF(Бланк!R34="3-х конт.",HLOOKUP(Бланк!$M$34,Цены[#All],Z22,0),""))</f>
        <v/>
      </c>
    </row>
    <row r="23" spans="1:28" s="39" customFormat="1" ht="15.75">
      <c r="A23" s="39">
        <f t="shared" si="5"/>
        <v>21</v>
      </c>
      <c r="B23" s="117" t="s">
        <v>384</v>
      </c>
      <c r="C23" s="9" t="s">
        <v>1143</v>
      </c>
      <c r="D23" s="300">
        <v>3</v>
      </c>
      <c r="E23" s="165">
        <f>Цены[[#This Row],[О_0]]</f>
        <v>3</v>
      </c>
      <c r="F23" s="40" t="s">
        <v>1075</v>
      </c>
      <c r="G23" s="165">
        <f>Цены[[#This Row],[О_0]]</f>
        <v>3</v>
      </c>
      <c r="H23" s="165">
        <f>Цены[[#This Row],[М_0]]</f>
        <v>3</v>
      </c>
      <c r="I23" s="165">
        <f>Цены[[#This Row],[М_1]]</f>
        <v>3</v>
      </c>
      <c r="J23" s="165" t="str">
        <f>Цены[[#This Row],[О_2]]</f>
        <v>Ошибка</v>
      </c>
      <c r="K23" s="165"/>
      <c r="L23" s="75"/>
      <c r="M23" s="75">
        <f t="shared" ref="M23:M89" si="10">A23</f>
        <v>21</v>
      </c>
      <c r="N23" s="594" t="str">
        <f>Цены[[#This Row],[Столбец1]]</f>
        <v>полотно</v>
      </c>
      <c r="O23" s="583" t="str">
        <f>IF(U23=$V$1,"Ошибка-1","")</f>
        <v/>
      </c>
      <c r="P23" s="583" t="str">
        <f>IF(X23=$V$1,"Ошибка-2","")</f>
        <v/>
      </c>
      <c r="Q23" s="617" t="str">
        <f>IF(AB23=$V$1,"Ошибка-3","")</f>
        <v/>
      </c>
      <c r="S23" s="32">
        <f>Цена!A23</f>
        <v>21</v>
      </c>
      <c r="T23" s="10" t="str">
        <f>Цена!C23</f>
        <v>формовка</v>
      </c>
      <c r="U23" s="97" t="str">
        <f>IF(OR(Номер_открывания_1=9,Номер_открывания_1=10),HLOOKUP(Бланк!$M$2,Цены[#All],S23,0),"")</f>
        <v/>
      </c>
      <c r="V23" s="32">
        <f t="shared" ref="V23" si="11">A23</f>
        <v>21</v>
      </c>
      <c r="W23" s="10" t="str">
        <f t="shared" ref="W23" si="12">T23</f>
        <v>формовка</v>
      </c>
      <c r="X23" s="97" t="str">
        <f>IF(OR(Номер_открывания_2=9,Номер_открывания_2=10),HLOOKUP(Бланк!$M$18,Цены[#All],S23,0),"")</f>
        <v/>
      </c>
      <c r="Z23" s="32">
        <f t="shared" ref="Z23" si="13">S23</f>
        <v>21</v>
      </c>
      <c r="AA23" s="10" t="str">
        <f t="shared" ref="AA23" si="14">T23</f>
        <v>формовка</v>
      </c>
      <c r="AB23" s="97" t="str">
        <f>IF(OR(Номер_открывания_3=9,Номер_открывания_3=10),HLOOKUP(Бланк!$M$34,Цены[#All],S23,0),"")</f>
        <v/>
      </c>
    </row>
    <row r="24" spans="1:28" s="39" customFormat="1" ht="15.75">
      <c r="A24" s="39">
        <f t="shared" si="5"/>
        <v>22</v>
      </c>
      <c r="B24" s="117" t="s">
        <v>808</v>
      </c>
      <c r="C24" s="380" t="s">
        <v>800</v>
      </c>
      <c r="D24" s="375"/>
      <c r="E24" s="375"/>
      <c r="F24" s="375"/>
      <c r="G24" s="375"/>
      <c r="H24" s="15"/>
      <c r="I24" s="375"/>
      <c r="J24" s="119"/>
      <c r="K24" s="165"/>
      <c r="L24" s="583"/>
      <c r="M24" s="75">
        <f t="shared" si="10"/>
        <v>22</v>
      </c>
      <c r="N24" s="594" t="str">
        <f>Цены[[#This Row],[Столбец1]]</f>
        <v>Лазер</v>
      </c>
      <c r="O24" s="583" t="str">
        <f t="shared" si="2"/>
        <v/>
      </c>
      <c r="P24" s="583" t="str">
        <f t="shared" si="3"/>
        <v/>
      </c>
      <c r="Q24" s="617" t="str">
        <f t="shared" si="4"/>
        <v/>
      </c>
      <c r="S24" s="32">
        <f>Цена!A24</f>
        <v>22</v>
      </c>
      <c r="T24" s="10" t="str">
        <f>Цена!C24</f>
        <v>ЛАЗЕР</v>
      </c>
      <c r="U24" s="97" t="str">
        <f>IF(AND(OR(Бланк!F9="Фанера",Бланк!F9="МДФ"),Бланк!K9="ЛАЗЕР"),V1,IF(OR(Бланк!F9="Фанера",Бланк!F9="МДФ"),"",IF(OR(Бланк!M9="",Бланк!P9=""),"",VLOOKUP(Бланк!P9,Таблица14[],фрезеровки!AB21+1,0))))</f>
        <v/>
      </c>
      <c r="V24" s="32">
        <f t="shared" si="0"/>
        <v>22</v>
      </c>
      <c r="W24" s="10" t="str">
        <f>T24</f>
        <v>ЛАЗЕР</v>
      </c>
      <c r="X24" s="97" t="str">
        <f>IF(AND(OR(Бланк!F25="Фанера",Бланк!F25="МДФ"),Бланк!K25="Лазер"),Z1,IF(OR(Бланк!F25="Фанера",Бланк!F25="МДФ"),"",IF(OR(Бланк!M25="",Бланк!P25=""),"",VLOOKUP(Бланк!P25,Таблица14[],фрезеровки!AB22+1,0))))</f>
        <v/>
      </c>
      <c r="Z24" s="32">
        <f>S24</f>
        <v>22</v>
      </c>
      <c r="AA24" s="10" t="str">
        <f>T24</f>
        <v>ЛАЗЕР</v>
      </c>
      <c r="AB24" s="97" t="str">
        <f>IF(AND(OR(Бланк!F41="Фанера",Бланк!F41="МДФ"),Бланк!K41="Лазер"),Z1,IF(OR(Бланк!F41="Фанера",Бланк!F41="МДФ"),"",IF(OR(Бланк!M41="",Бланк!P41=""),"",VLOOKUP(Бланк!P41,Таблица14[],фрезеровки!AB23+1,0))))</f>
        <v/>
      </c>
    </row>
    <row r="25" spans="1:28" s="39" customFormat="1" ht="15.75">
      <c r="A25" s="39">
        <f t="shared" si="5"/>
        <v>23</v>
      </c>
      <c r="B25" s="125" t="s">
        <v>816</v>
      </c>
      <c r="C25" s="125" t="s">
        <v>816</v>
      </c>
      <c r="D25" s="381">
        <v>5</v>
      </c>
      <c r="E25" s="382">
        <f>Цены[[#This Row],[О_0]]</f>
        <v>5</v>
      </c>
      <c r="F25" s="712">
        <f>Цены[[#This Row],[О_1]]</f>
        <v>5</v>
      </c>
      <c r="G25" s="712">
        <f>Цены[[#This Row],[О_2]]</f>
        <v>5</v>
      </c>
      <c r="H25" s="712">
        <f>Цены[[#This Row],[М_0]]</f>
        <v>5</v>
      </c>
      <c r="I25" s="712">
        <f>Цены[[#This Row],[М_1]]</f>
        <v>5</v>
      </c>
      <c r="J25" s="712">
        <f>Цены[[#This Row],[М_2]]</f>
        <v>5</v>
      </c>
      <c r="K25" s="165"/>
      <c r="L25" s="583"/>
      <c r="M25" s="75">
        <f t="shared" si="10"/>
        <v>23</v>
      </c>
      <c r="N25" s="594" t="str">
        <f>Цены[[#This Row],[Столбец1]]</f>
        <v>Микро-Термо разрыв</v>
      </c>
      <c r="O25" s="583" t="str">
        <f t="shared" si="2"/>
        <v/>
      </c>
      <c r="P25" s="583" t="str">
        <f t="shared" si="3"/>
        <v/>
      </c>
      <c r="Q25" s="617" t="str">
        <f t="shared" si="4"/>
        <v/>
      </c>
      <c r="S25" s="32">
        <f>Цена!A25</f>
        <v>23</v>
      </c>
      <c r="T25" s="10" t="str">
        <f>Цена!C25</f>
        <v>Микро-Термо разрыв</v>
      </c>
      <c r="U25" s="97" t="str">
        <f>IF(AND(Бланк!G6=T25,OR(Бланк!O4="Добор 1 шт.",Бланк!O4="Добор 2 шт.",Бланк!O4="Добор 3 шт.",Бланк!S4="2-х створ.")),HLOOKUP(Бланк!$M$2,Цены[#All],S25,0)*2,IF(Бланк!G6=T25,HLOOKUP(Бланк!$M$2,Цены[#All],S25,0),""))</f>
        <v/>
      </c>
      <c r="V25" s="32">
        <f t="shared" si="0"/>
        <v>23</v>
      </c>
      <c r="W25" s="10" t="str">
        <f>T25</f>
        <v>Микро-Термо разрыв</v>
      </c>
      <c r="X25" s="97" t="str">
        <f>IF(AND(Бланк!G22=T25,OR(Бланк!O20="Добор 1 шт.",Бланк!O20="Добор 2 шт.",Бланк!O20="Добор 3 шт.",Бланк!S20="2-х створ.")),HLOOKUP(Бланк!$M$2,Цены[#All],S25,0)*2,IF(Бланк!G22=W25,HLOOKUP(Бланк!$M$18,Цены[#All],V25,0),""))</f>
        <v/>
      </c>
      <c r="Z25" s="32">
        <f>S25</f>
        <v>23</v>
      </c>
      <c r="AA25" s="10" t="str">
        <f>T25</f>
        <v>Микро-Термо разрыв</v>
      </c>
      <c r="AB25" s="97" t="str">
        <f>IF(AND(Бланк!G38=T25,OR(Бланк!O36="Добор 1 шт.",Бланк!O36="Добор 2 шт.",Бланк!O36="Добор 3 шт.",Бланк!S36="2-х створ.")),HLOOKUP(Бланк!$M$2,Цены[#All],S25,0)*2,IF(Бланк!G38=AA25,HLOOKUP(Бланк!$M$34,Цены[#All],Z25,0),""))</f>
        <v/>
      </c>
    </row>
    <row r="26" spans="1:28" s="39" customFormat="1" ht="15.75">
      <c r="A26" s="39">
        <f t="shared" si="5"/>
        <v>24</v>
      </c>
      <c r="B26" s="387" t="s">
        <v>822</v>
      </c>
      <c r="C26" s="117" t="str">
        <f>Цены[[#This Row],[Столбец1]]</f>
        <v>ПКТ</v>
      </c>
      <c r="D26" s="40" t="s">
        <v>1075</v>
      </c>
      <c r="E26" s="40" t="s">
        <v>1075</v>
      </c>
      <c r="F26" s="300" t="e">
        <f>100-F22-F42-F52-F84-F183-F204-F240</f>
        <v>#VALUE!</v>
      </c>
      <c r="G26" s="40" t="s">
        <v>1075</v>
      </c>
      <c r="H26" s="40" t="s">
        <v>1075</v>
      </c>
      <c r="I26" s="300">
        <f>37+6.7</f>
        <v>43.7</v>
      </c>
      <c r="J26" s="711">
        <f>Цены[[#This Row],[М_2]]</f>
        <v>43.7</v>
      </c>
      <c r="K26" s="118"/>
      <c r="L26" s="75"/>
      <c r="M26" s="75">
        <f t="shared" si="10"/>
        <v>24</v>
      </c>
      <c r="N26" s="594" t="str">
        <f>Цены[[#This Row],[Столбец1]]</f>
        <v>ПКТ</v>
      </c>
      <c r="O26" s="583" t="str">
        <f t="shared" si="2"/>
        <v/>
      </c>
      <c r="P26" s="583" t="str">
        <f t="shared" si="3"/>
        <v/>
      </c>
      <c r="Q26" s="617" t="str">
        <f t="shared" si="4"/>
        <v/>
      </c>
      <c r="S26" s="32">
        <f>Цена!A26</f>
        <v>24</v>
      </c>
      <c r="T26" s="10" t="str">
        <f>Цена!C26</f>
        <v>ПКТ</v>
      </c>
      <c r="U26" s="97" t="str">
        <f>IF(AND(Бланк!G6=T26,OR(Бланк!X2=T39,Бланк!R2="2-х конт.",Бланк!R4="2-х створ.")),$V$1,IF(Бланк!G6=T26,HLOOKUP(Бланк!$M$2,Цены[#All],S26,0),""))</f>
        <v/>
      </c>
      <c r="V26" s="32">
        <f t="shared" si="0"/>
        <v>24</v>
      </c>
      <c r="W26" s="10" t="str">
        <f t="shared" si="8"/>
        <v>ПКТ</v>
      </c>
      <c r="X26" s="97" t="str">
        <f>IF(AND(Бланк!G22=W26,OR(Бланк!X18=W39,Бланк!R20="2-х створ.")),$V$1,IF(Бланк!G22=W26,HLOOKUP(Бланк!$M$18,Цены[#All],V26,0),""))</f>
        <v/>
      </c>
      <c r="Z26" s="32">
        <f t="shared" si="1"/>
        <v>24</v>
      </c>
      <c r="AA26" s="10" t="str">
        <f t="shared" si="7"/>
        <v>ПКТ</v>
      </c>
      <c r="AB26" s="97" t="str">
        <f>IF(AND(Бланк!G38=AA26,OR(Бланк!X34=AA39,Бланк!R36="2-х створ.")),$V$1,IF(Бланк!G38=AA26,HLOOKUP(Бланк!$M$34,Цены[#All],Z26,0),""))</f>
        <v/>
      </c>
    </row>
    <row r="27" spans="1:28" ht="16.5" customHeight="1">
      <c r="A27" s="39">
        <f t="shared" si="5"/>
        <v>25</v>
      </c>
      <c r="B27" s="124" t="s">
        <v>612</v>
      </c>
      <c r="C27" s="43" t="s">
        <v>350</v>
      </c>
      <c r="D27" s="444">
        <v>19</v>
      </c>
      <c r="E27" s="247">
        <f>Цены[[#This Row],[О_0]]</f>
        <v>19</v>
      </c>
      <c r="F27" s="482">
        <f>Цены[[#This Row],[О_1]]</f>
        <v>19</v>
      </c>
      <c r="G27" s="482">
        <f>Цены[[#This Row],[О_2]]</f>
        <v>19</v>
      </c>
      <c r="H27" s="482">
        <f>Цены[[#This Row],[М_0]]</f>
        <v>19</v>
      </c>
      <c r="I27" s="482">
        <f>Цены[[#This Row],[М_1]]</f>
        <v>19</v>
      </c>
      <c r="J27" s="482">
        <f>Цены[[#This Row],[М_2]]</f>
        <v>19</v>
      </c>
      <c r="K27" s="118"/>
      <c r="L27" s="75"/>
      <c r="M27" s="75">
        <f t="shared" si="10"/>
        <v>25</v>
      </c>
      <c r="N27" s="594" t="str">
        <f>Цены[[#This Row],[Столбец1]]</f>
        <v>Доборы/съёмные</v>
      </c>
      <c r="O27" s="583" t="str">
        <f t="shared" si="2"/>
        <v/>
      </c>
      <c r="P27" s="583" t="str">
        <f t="shared" si="3"/>
        <v/>
      </c>
      <c r="Q27" s="617" t="str">
        <f t="shared" si="4"/>
        <v/>
      </c>
      <c r="S27" s="32">
        <f>Цена!A27</f>
        <v>25</v>
      </c>
      <c r="T27" s="10" t="str">
        <f>Цена!C27</f>
        <v>Добор 1 шт.</v>
      </c>
      <c r="U27" s="97" t="str">
        <f>IF(Бланк!$O$4=T27,HLOOKUP(Бланк!$M$2,Цены[#All],S27,0),"")</f>
        <v/>
      </c>
      <c r="V27" s="32">
        <f t="shared" si="0"/>
        <v>25</v>
      </c>
      <c r="W27" s="10" t="str">
        <f t="shared" si="8"/>
        <v>Добор 1 шт.</v>
      </c>
      <c r="X27" s="97" t="str">
        <f>IF(Бланк!$O$20=T27,HLOOKUP(Бланк!$M$2,Цены[#All],S27,0),"")</f>
        <v/>
      </c>
      <c r="Z27" s="32">
        <f t="shared" si="1"/>
        <v>25</v>
      </c>
      <c r="AA27" s="10" t="str">
        <f t="shared" si="7"/>
        <v>Добор 1 шт.</v>
      </c>
      <c r="AB27" s="97" t="str">
        <f>IF(Бланк!$O$36=T27,HLOOKUP(Бланк!$M$2,Цены[#All],S27,0),"")</f>
        <v/>
      </c>
    </row>
    <row r="28" spans="1:28" s="39" customFormat="1" ht="15.75">
      <c r="A28" s="39">
        <f t="shared" si="5"/>
        <v>26</v>
      </c>
      <c r="B28" s="117">
        <v>2</v>
      </c>
      <c r="C28" s="43" t="s">
        <v>351</v>
      </c>
      <c r="D28" s="226">
        <f>D27*$B$28</f>
        <v>38</v>
      </c>
      <c r="E28" s="226">
        <f t="shared" ref="E28:J28" si="15">E27*$B$28</f>
        <v>38</v>
      </c>
      <c r="F28" s="226">
        <f t="shared" si="15"/>
        <v>38</v>
      </c>
      <c r="G28" s="226">
        <f t="shared" si="15"/>
        <v>38</v>
      </c>
      <c r="H28" s="226">
        <f t="shared" si="15"/>
        <v>38</v>
      </c>
      <c r="I28" s="226">
        <f t="shared" si="15"/>
        <v>38</v>
      </c>
      <c r="J28" s="226">
        <f t="shared" si="15"/>
        <v>38</v>
      </c>
      <c r="K28" s="118"/>
      <c r="L28" s="75"/>
      <c r="M28" s="75">
        <f t="shared" si="10"/>
        <v>26</v>
      </c>
      <c r="N28" s="594" t="str">
        <f>N27</f>
        <v>Доборы/съёмные</v>
      </c>
      <c r="O28" s="583" t="str">
        <f t="shared" si="2"/>
        <v/>
      </c>
      <c r="P28" s="583" t="str">
        <f t="shared" si="3"/>
        <v/>
      </c>
      <c r="Q28" s="617" t="str">
        <f t="shared" si="4"/>
        <v/>
      </c>
      <c r="S28" s="32">
        <f>Цена!A28</f>
        <v>26</v>
      </c>
      <c r="T28" s="10" t="str">
        <f>Цена!C28</f>
        <v>Добор 2 шт.</v>
      </c>
      <c r="U28" s="97" t="str">
        <f>IF(Бланк!$O$4=T28,HLOOKUP(Бланк!$M$2,Цены[#All],S28,0),"")</f>
        <v/>
      </c>
      <c r="V28" s="32">
        <f t="shared" si="0"/>
        <v>26</v>
      </c>
      <c r="W28" s="10" t="str">
        <f t="shared" si="8"/>
        <v>Добор 2 шт.</v>
      </c>
      <c r="X28" s="97" t="str">
        <f>IF(Бланк!$O$20=T28,HLOOKUP(Бланк!$M$2,Цены[#All],S28,0),"")</f>
        <v/>
      </c>
      <c r="Z28" s="32">
        <f t="shared" si="1"/>
        <v>26</v>
      </c>
      <c r="AA28" s="10" t="str">
        <f t="shared" si="7"/>
        <v>Добор 2 шт.</v>
      </c>
      <c r="AB28" s="97" t="str">
        <f>IF(Бланк!$O$36=T28,HLOOKUP(Бланк!$M$2,Цены[#All],S28,0),"")</f>
        <v/>
      </c>
    </row>
    <row r="29" spans="1:28" s="39" customFormat="1" ht="15.75">
      <c r="A29" s="39">
        <f t="shared" si="5"/>
        <v>27</v>
      </c>
      <c r="B29" s="117">
        <v>3</v>
      </c>
      <c r="C29" s="43" t="s">
        <v>352</v>
      </c>
      <c r="D29" s="112">
        <f>D27*$B$29</f>
        <v>57</v>
      </c>
      <c r="E29" s="226">
        <f t="shared" ref="E29:J29" si="16">E27*$B$29</f>
        <v>57</v>
      </c>
      <c r="F29" s="226">
        <f t="shared" si="16"/>
        <v>57</v>
      </c>
      <c r="G29" s="226">
        <f t="shared" si="16"/>
        <v>57</v>
      </c>
      <c r="H29" s="226">
        <f t="shared" si="16"/>
        <v>57</v>
      </c>
      <c r="I29" s="226">
        <f t="shared" si="16"/>
        <v>57</v>
      </c>
      <c r="J29" s="226">
        <f t="shared" si="16"/>
        <v>57</v>
      </c>
      <c r="K29" s="118"/>
      <c r="L29" s="75"/>
      <c r="M29" s="75">
        <f t="shared" si="10"/>
        <v>27</v>
      </c>
      <c r="N29" s="594" t="str">
        <f>$B$27</f>
        <v>Доборы/съёмные</v>
      </c>
      <c r="O29" s="583" t="str">
        <f t="shared" si="2"/>
        <v/>
      </c>
      <c r="P29" s="583" t="str">
        <f t="shared" si="3"/>
        <v/>
      </c>
      <c r="Q29" s="617" t="str">
        <f t="shared" si="4"/>
        <v/>
      </c>
      <c r="S29" s="32">
        <f>Цена!A29</f>
        <v>27</v>
      </c>
      <c r="T29" s="10" t="str">
        <f>Цена!C29</f>
        <v>Добор 3 шт.</v>
      </c>
      <c r="U29" s="97" t="str">
        <f>IF(Бланк!$O$4=T29,HLOOKUP(Бланк!$M$2,Цены[#All],S29,0),"")</f>
        <v/>
      </c>
      <c r="V29" s="32">
        <f t="shared" si="0"/>
        <v>27</v>
      </c>
      <c r="W29" s="10" t="str">
        <f t="shared" si="8"/>
        <v>Добор 3 шт.</v>
      </c>
      <c r="X29" s="97" t="str">
        <f>IF(Бланк!$O$20=T29,HLOOKUP(Бланк!$M$2,Цены[#All],S29,0),"")</f>
        <v/>
      </c>
      <c r="Z29" s="32">
        <f t="shared" si="1"/>
        <v>27</v>
      </c>
      <c r="AA29" s="10" t="str">
        <f t="shared" si="7"/>
        <v>Добор 3 шт.</v>
      </c>
      <c r="AB29" s="97" t="str">
        <f>IF(Бланк!$O$36=T29,HLOOKUP(Бланк!$M$2,Цены[#All],S29,0),"")</f>
        <v/>
      </c>
    </row>
    <row r="30" spans="1:28" s="39" customFormat="1" ht="15.75">
      <c r="A30" s="39">
        <f t="shared" si="5"/>
        <v>28</v>
      </c>
      <c r="B30" s="299">
        <v>1</v>
      </c>
      <c r="C30" s="47" t="s">
        <v>610</v>
      </c>
      <c r="D30" s="300">
        <f>D27</f>
        <v>19</v>
      </c>
      <c r="E30" s="300">
        <f>Цены[[#This Row],[О_0]]</f>
        <v>19</v>
      </c>
      <c r="F30" s="300">
        <f>Цены[[#This Row],[О_1]]</f>
        <v>19</v>
      </c>
      <c r="G30" s="300">
        <f>Цены[[#This Row],[О_2]]</f>
        <v>19</v>
      </c>
      <c r="H30" s="300">
        <f>Цены[[#This Row],[М_0]]</f>
        <v>19</v>
      </c>
      <c r="I30" s="300">
        <f>Цены[[#This Row],[М_1]]</f>
        <v>19</v>
      </c>
      <c r="J30" s="300">
        <f>Цены[[#This Row],[М_2]]</f>
        <v>19</v>
      </c>
      <c r="K30" s="118"/>
      <c r="L30" s="75"/>
      <c r="M30" s="75">
        <f t="shared" si="10"/>
        <v>28</v>
      </c>
      <c r="N30" s="594" t="str">
        <f t="shared" ref="N30:N31" si="17">$B$27</f>
        <v>Доборы/съёмные</v>
      </c>
      <c r="O30" s="583" t="str">
        <f t="shared" si="2"/>
        <v/>
      </c>
      <c r="P30" s="583" t="str">
        <f t="shared" si="3"/>
        <v/>
      </c>
      <c r="Q30" s="617" t="str">
        <f t="shared" si="4"/>
        <v/>
      </c>
      <c r="S30" s="32">
        <f>Цена!A30</f>
        <v>28</v>
      </c>
      <c r="T30" s="10" t="str">
        <f>Цена!C30</f>
        <v>1 съёмный добор</v>
      </c>
      <c r="U30" s="97" t="str">
        <f>IF(Бланк!$G$3=T30,HLOOKUP(Бланк!$M$2,Цены[#All],S30,0),"")</f>
        <v/>
      </c>
      <c r="V30" s="32">
        <f t="shared" si="0"/>
        <v>28</v>
      </c>
      <c r="W30" s="10" t="str">
        <f t="shared" si="8"/>
        <v>1 съёмный добор</v>
      </c>
      <c r="X30" s="97" t="str">
        <f>IF(Бланк!$G$19=W30,HLOOKUP(Бланк!$M$18,Цены[#All],V30,0),"")</f>
        <v/>
      </c>
      <c r="Z30" s="32">
        <f t="shared" ref="Z30:AA32" si="18">S30</f>
        <v>28</v>
      </c>
      <c r="AA30" s="10" t="str">
        <f t="shared" si="18"/>
        <v>1 съёмный добор</v>
      </c>
      <c r="AB30" s="97" t="str">
        <f>IF(Бланк!$G$35=AA30,HLOOKUP(Бланк!$M$34,Цены[#All],Z30,0),"")</f>
        <v/>
      </c>
    </row>
    <row r="31" spans="1:28" s="39" customFormat="1" ht="15.75">
      <c r="A31" s="39">
        <f t="shared" si="5"/>
        <v>29</v>
      </c>
      <c r="B31" s="299">
        <v>2</v>
      </c>
      <c r="C31" s="47" t="s">
        <v>611</v>
      </c>
      <c r="D31" s="300">
        <f>$D$27*$B$31</f>
        <v>38</v>
      </c>
      <c r="E31" s="300">
        <f t="shared" ref="E31:J31" si="19">$D$27*$B$31</f>
        <v>38</v>
      </c>
      <c r="F31" s="300">
        <f t="shared" si="19"/>
        <v>38</v>
      </c>
      <c r="G31" s="300">
        <f t="shared" si="19"/>
        <v>38</v>
      </c>
      <c r="H31" s="300">
        <f t="shared" si="19"/>
        <v>38</v>
      </c>
      <c r="I31" s="300">
        <f t="shared" si="19"/>
        <v>38</v>
      </c>
      <c r="J31" s="300">
        <f t="shared" si="19"/>
        <v>38</v>
      </c>
      <c r="K31" s="118"/>
      <c r="L31" s="75"/>
      <c r="M31" s="75">
        <f t="shared" si="10"/>
        <v>29</v>
      </c>
      <c r="N31" s="594" t="str">
        <f t="shared" si="17"/>
        <v>Доборы/съёмные</v>
      </c>
      <c r="O31" s="583" t="str">
        <f t="shared" si="2"/>
        <v/>
      </c>
      <c r="P31" s="583" t="str">
        <f t="shared" si="3"/>
        <v/>
      </c>
      <c r="Q31" s="617" t="str">
        <f t="shared" si="4"/>
        <v/>
      </c>
      <c r="S31" s="32">
        <f>Цена!A31</f>
        <v>29</v>
      </c>
      <c r="T31" s="10" t="str">
        <f>Цена!C31</f>
        <v>2 съёмных добора</v>
      </c>
      <c r="U31" s="97" t="str">
        <f>IF(Бланк!$G$3=T31,HLOOKUP(Бланк!$M$2,Цены[#All],S31,0),"")</f>
        <v/>
      </c>
      <c r="V31" s="32">
        <f t="shared" si="0"/>
        <v>29</v>
      </c>
      <c r="W31" s="10" t="str">
        <f t="shared" si="8"/>
        <v>2 съёмных добора</v>
      </c>
      <c r="X31" s="97" t="str">
        <f>IF(Бланк!$G$19=W31,HLOOKUP(Бланк!$M$18,Цены[#All],V31,0),"")</f>
        <v/>
      </c>
      <c r="Z31" s="32">
        <f t="shared" si="18"/>
        <v>29</v>
      </c>
      <c r="AA31" s="10" t="str">
        <f t="shared" si="18"/>
        <v>2 съёмных добора</v>
      </c>
      <c r="AB31" s="97" t="str">
        <f>IF(Бланк!$G$35=AA31,HLOOKUP(Бланк!$M$34,Цены[#All],Z31,0),"")</f>
        <v/>
      </c>
    </row>
    <row r="32" spans="1:28" s="39" customFormat="1" ht="15.75">
      <c r="A32" s="39">
        <f t="shared" si="5"/>
        <v>30</v>
      </c>
      <c r="B32" s="299">
        <v>3</v>
      </c>
      <c r="C32" s="47" t="s">
        <v>609</v>
      </c>
      <c r="D32" s="300">
        <f>$D$27*$B$32</f>
        <v>57</v>
      </c>
      <c r="E32" s="300">
        <f t="shared" ref="E32:J32" si="20">$D$27*$B$32</f>
        <v>57</v>
      </c>
      <c r="F32" s="300">
        <f t="shared" si="20"/>
        <v>57</v>
      </c>
      <c r="G32" s="300">
        <f t="shared" si="20"/>
        <v>57</v>
      </c>
      <c r="H32" s="300">
        <f t="shared" si="20"/>
        <v>57</v>
      </c>
      <c r="I32" s="300">
        <f t="shared" si="20"/>
        <v>57</v>
      </c>
      <c r="J32" s="300">
        <f t="shared" si="20"/>
        <v>57</v>
      </c>
      <c r="K32" s="118"/>
      <c r="L32" s="75"/>
      <c r="M32" s="75">
        <f t="shared" si="10"/>
        <v>30</v>
      </c>
      <c r="N32" s="594" t="str">
        <f>$B$27</f>
        <v>Доборы/съёмные</v>
      </c>
      <c r="O32" s="583" t="str">
        <f t="shared" si="2"/>
        <v/>
      </c>
      <c r="P32" s="583" t="str">
        <f t="shared" si="3"/>
        <v/>
      </c>
      <c r="Q32" s="617" t="str">
        <f t="shared" si="4"/>
        <v/>
      </c>
      <c r="S32" s="32">
        <f>Цена!A32</f>
        <v>30</v>
      </c>
      <c r="T32" s="10" t="str">
        <f>Цена!C32</f>
        <v>3 съёмных добора</v>
      </c>
      <c r="U32" s="97" t="str">
        <f>IF(Бланк!$G$3=T32,HLOOKUP(Бланк!$M$2,Цены[#All],S32,0),"")</f>
        <v/>
      </c>
      <c r="V32" s="32">
        <f t="shared" si="0"/>
        <v>30</v>
      </c>
      <c r="W32" s="10" t="str">
        <f t="shared" si="8"/>
        <v>3 съёмных добора</v>
      </c>
      <c r="X32" s="97" t="str">
        <f>IF(Бланк!$G$19=W32,HLOOKUP(Бланк!$M$18,Цены[#All],V32,0),"")</f>
        <v/>
      </c>
      <c r="Z32" s="32">
        <f t="shared" si="18"/>
        <v>30</v>
      </c>
      <c r="AA32" s="10" t="str">
        <f t="shared" si="18"/>
        <v>3 съёмных добора</v>
      </c>
      <c r="AB32" s="97" t="str">
        <f>IF(Бланк!$G$35=AA32,HLOOKUP(Бланк!$M$34,Цены[#All],Z32,0),"")</f>
        <v/>
      </c>
    </row>
    <row r="33" spans="1:28" s="39" customFormat="1" ht="15.75">
      <c r="A33" s="39">
        <f t="shared" si="5"/>
        <v>31</v>
      </c>
      <c r="B33" s="124" t="s">
        <v>353</v>
      </c>
      <c r="C33" s="43" t="s">
        <v>349</v>
      </c>
      <c r="D33" s="40" t="s">
        <v>1075</v>
      </c>
      <c r="E33" s="40" t="s">
        <v>1075</v>
      </c>
      <c r="F33" s="112">
        <f>F4</f>
        <v>244</v>
      </c>
      <c r="G33" s="130">
        <f>G4</f>
        <v>170</v>
      </c>
      <c r="H33" s="130">
        <f>H4</f>
        <v>187</v>
      </c>
      <c r="I33" s="130">
        <f>I4</f>
        <v>212</v>
      </c>
      <c r="J33" s="130">
        <f>J4</f>
        <v>254</v>
      </c>
      <c r="K33" s="118"/>
      <c r="L33" s="75"/>
      <c r="M33" s="75">
        <f t="shared" si="10"/>
        <v>31</v>
      </c>
      <c r="N33" s="594" t="str">
        <f>Цены[[#This Row],[Параметр]]</f>
        <v>2-х створ.</v>
      </c>
      <c r="O33" s="583" t="str">
        <f t="shared" si="2"/>
        <v/>
      </c>
      <c r="P33" s="583" t="str">
        <f t="shared" si="3"/>
        <v/>
      </c>
      <c r="Q33" s="617" t="str">
        <f t="shared" si="4"/>
        <v/>
      </c>
      <c r="S33" s="32">
        <f>Цена!A33</f>
        <v>31</v>
      </c>
      <c r="T33" s="10" t="str">
        <f>Цена!C33</f>
        <v>2-х створ.</v>
      </c>
      <c r="U33" s="97" t="str">
        <f>IF(Бланк!$R$4=T33,IF(U1&lt;310,(HLOOKUP(Бланк!$M$2,Цены[#All],S33,0)+(U3-SUM(U181:U295)-SUM(U5:U6)-U147-U148))*0.6+SUM(U27:U32),""),"")</f>
        <v/>
      </c>
      <c r="V33" s="32">
        <f t="shared" si="0"/>
        <v>31</v>
      </c>
      <c r="W33" s="10" t="str">
        <f t="shared" si="8"/>
        <v>2-х створ.</v>
      </c>
      <c r="X33" s="97" t="str">
        <f>IF(Бланк!$R$20=W33,IF(X1&lt;310,(HLOOKUP(Бланк!$M$18,Цены[#All],V33,0)+(X3-SUM(X181:X295)-SUM(X5:X6)-X147-X148))*0.6+SUM(X27:X32),""),"")</f>
        <v/>
      </c>
      <c r="Z33" s="32">
        <f t="shared" si="1"/>
        <v>31</v>
      </c>
      <c r="AA33" s="10" t="str">
        <f t="shared" si="7"/>
        <v>2-х створ.</v>
      </c>
      <c r="AB33" s="97" t="str">
        <f>IF(Бланк!$R$36=AA33,IF(AB1&lt;310,(HLOOKUP(Бланк!$M$34,Цены[#All],Z33,0)+(AB3-SUM(AB181:AB295)-SUM(AB5:AB6)-AB147-AB148))*0.6+SUM(AB27:AB32),""),"")</f>
        <v/>
      </c>
    </row>
    <row r="34" spans="1:28" s="39" customFormat="1" ht="15.75">
      <c r="A34" s="39">
        <f t="shared" si="5"/>
        <v>32</v>
      </c>
      <c r="B34" s="124" t="s">
        <v>461</v>
      </c>
      <c r="C34" s="43" t="s">
        <v>349</v>
      </c>
      <c r="D34" s="40" t="s">
        <v>1075</v>
      </c>
      <c r="E34" s="40" t="s">
        <v>1075</v>
      </c>
      <c r="F34" s="112">
        <f>F4</f>
        <v>244</v>
      </c>
      <c r="G34" s="130">
        <f>G4</f>
        <v>170</v>
      </c>
      <c r="H34" s="130">
        <f>H4</f>
        <v>187</v>
      </c>
      <c r="I34" s="130">
        <f>I4</f>
        <v>212</v>
      </c>
      <c r="J34" s="130">
        <f>J4</f>
        <v>254</v>
      </c>
      <c r="K34" s="118"/>
      <c r="L34" s="75"/>
      <c r="M34" s="75">
        <f t="shared" si="10"/>
        <v>32</v>
      </c>
      <c r="N34" s="594" t="str">
        <f>Цены[[#This Row],[Параметр]]</f>
        <v>2-х створ.</v>
      </c>
      <c r="O34" s="583" t="str">
        <f t="shared" si="2"/>
        <v/>
      </c>
      <c r="P34" s="583" t="str">
        <f t="shared" si="3"/>
        <v/>
      </c>
      <c r="Q34" s="617" t="str">
        <f t="shared" si="4"/>
        <v/>
      </c>
      <c r="S34" s="32">
        <f>Цена!A34</f>
        <v>32</v>
      </c>
      <c r="T34" s="10" t="str">
        <f>Цена!C34</f>
        <v>2-х створ.</v>
      </c>
      <c r="U34" s="97" t="str">
        <f>IF(Бланк!$R$4=T34,IF(U1&gt;310,(HLOOKUP(Бланк!$M$2,Цены[#All],S34,0)+(U3-SUM(U181:U295)-SUM(U5:U6)-U147-U148))*0.8+SUM(U27:U32),""),"")</f>
        <v/>
      </c>
      <c r="V34" s="32">
        <f t="shared" si="0"/>
        <v>32</v>
      </c>
      <c r="W34" s="10" t="str">
        <f t="shared" si="8"/>
        <v>2-х створ.</v>
      </c>
      <c r="X34" s="97" t="str">
        <f>IF(Бланк!$R$20=W34,IF(X1&gt;310,(HLOOKUP(Бланк!$M$18,Цены[#All],V34,0)+(X3-SUM(X181:X295)-SUM(X5:X6)-X147-X148))*0.8+SUM(X27:X32),""),"")</f>
        <v/>
      </c>
      <c r="Z34" s="32">
        <f t="shared" si="1"/>
        <v>32</v>
      </c>
      <c r="AA34" s="10" t="str">
        <f t="shared" si="7"/>
        <v>2-х створ.</v>
      </c>
      <c r="AB34" s="97" t="str">
        <f>IF(Бланк!$R$36=AA34,IF(AB1&gt;310,(HLOOKUP(Бланк!$M$34,Цены[#All],Z34,0)+(AB3-SUM(AB181:AB295)-SUM(AB5:AB6)-AB147-AB148))*0.8+SUM(AB27:AB32),""),"")</f>
        <v/>
      </c>
    </row>
    <row r="35" spans="1:28" s="39" customFormat="1" ht="15.75">
      <c r="A35" s="39">
        <f t="shared" si="5"/>
        <v>33</v>
      </c>
      <c r="B35" s="124" t="s">
        <v>462</v>
      </c>
      <c r="C35" s="43" t="s">
        <v>349</v>
      </c>
      <c r="D35" s="40" t="s">
        <v>1075</v>
      </c>
      <c r="E35" s="40" t="s">
        <v>1075</v>
      </c>
      <c r="F35" s="482">
        <f>F34</f>
        <v>244</v>
      </c>
      <c r="G35" s="482">
        <f>G34</f>
        <v>170</v>
      </c>
      <c r="H35" s="482">
        <f>H34</f>
        <v>187</v>
      </c>
      <c r="I35" s="482">
        <f>I34</f>
        <v>212</v>
      </c>
      <c r="J35" s="482">
        <f>J34</f>
        <v>254</v>
      </c>
      <c r="K35" s="118"/>
      <c r="L35" s="75"/>
      <c r="M35" s="75">
        <f t="shared" si="10"/>
        <v>33</v>
      </c>
      <c r="N35" s="594" t="str">
        <f>Цены[[#This Row],[Параметр]]</f>
        <v>2-х створ.</v>
      </c>
      <c r="O35" s="583" t="str">
        <f t="shared" si="2"/>
        <v/>
      </c>
      <c r="P35" s="583" t="str">
        <f t="shared" si="3"/>
        <v/>
      </c>
      <c r="Q35" s="617" t="str">
        <f t="shared" si="4"/>
        <v/>
      </c>
      <c r="S35" s="32">
        <f>Цена!A35</f>
        <v>33</v>
      </c>
      <c r="T35" s="10" t="str">
        <f>Цена!C35</f>
        <v>2-х створ.</v>
      </c>
      <c r="U35" s="97" t="str">
        <f>IF(Бланк!$R$4=T35,IF(U1&gt;410,(U1-410)*HLOOKUP(Бланк!$M$2,Цены[#All],S9,0),""),"")</f>
        <v/>
      </c>
      <c r="V35" s="32">
        <f t="shared" si="0"/>
        <v>33</v>
      </c>
      <c r="W35" s="10" t="str">
        <f t="shared" si="8"/>
        <v>2-х створ.</v>
      </c>
      <c r="X35" s="97" t="str">
        <f>IF(Бланк!$R$20=W35,IF(X1&gt;409.9,(X1-410)*HLOOKUP(Бланк!$M$18,Цены[#All],V9,0),""),"")</f>
        <v/>
      </c>
      <c r="Z35" s="32">
        <f t="shared" si="1"/>
        <v>33</v>
      </c>
      <c r="AA35" s="10" t="str">
        <f t="shared" si="7"/>
        <v>2-х створ.</v>
      </c>
      <c r="AB35" s="97" t="str">
        <f>IF(Бланк!$R$36=AA35,IF(AB1&gt;409.9,(AB1-410)*HLOOKUP(Бланк!$M$34,Цены[#All],Z9,0),""),"")</f>
        <v/>
      </c>
    </row>
    <row r="36" spans="1:28" ht="15.75">
      <c r="A36" s="39">
        <f t="shared" si="5"/>
        <v>34</v>
      </c>
      <c r="B36" s="124" t="s">
        <v>14</v>
      </c>
      <c r="C36" s="43" t="s">
        <v>80</v>
      </c>
      <c r="D36" s="300">
        <v>4</v>
      </c>
      <c r="E36" s="112">
        <f>Цены[[#This Row],[О_0]]</f>
        <v>4</v>
      </c>
      <c r="F36" s="676">
        <f>Цены[[#This Row],[О_1]]</f>
        <v>4</v>
      </c>
      <c r="G36" s="676">
        <f>Цены[[#This Row],[О_2]]</f>
        <v>4</v>
      </c>
      <c r="H36" s="676">
        <f>Цены[[#This Row],[М_0]]</f>
        <v>4</v>
      </c>
      <c r="I36" s="676">
        <f>Цены[[#This Row],[М_1]]</f>
        <v>4</v>
      </c>
      <c r="J36" s="676">
        <f>Цены[[#This Row],[М_2]]</f>
        <v>4</v>
      </c>
      <c r="K36" s="118"/>
      <c r="L36" s="75"/>
      <c r="M36" s="75">
        <f t="shared" si="10"/>
        <v>34</v>
      </c>
      <c r="N36" s="594" t="str">
        <f>Цены[[#This Row],[Столбец1]]</f>
        <v>петли</v>
      </c>
      <c r="O36" s="583" t="str">
        <f t="shared" si="2"/>
        <v/>
      </c>
      <c r="P36" s="583" t="str">
        <f t="shared" si="3"/>
        <v/>
      </c>
      <c r="Q36" s="617" t="str">
        <f t="shared" si="4"/>
        <v/>
      </c>
      <c r="S36" s="32">
        <f>Цена!A36</f>
        <v>34</v>
      </c>
      <c r="T36" s="10" t="str">
        <f>Цена!C36</f>
        <v>3 петли</v>
      </c>
      <c r="U36" s="97" t="str">
        <f>IF(Бланк!M2="Индивид.","",IF(AND(Бланк!M2="О_2",Бланк!F9="МДФ",OR(Бланк!H9="_16мм",Бланк!H9="_16_влаго",Бланк!H11="_16мм",Бланк!H11="_16_влаго")),Цены[[#This Row],[О_2]],IF(AND(U9&gt;0,Бланк!$S$4="",Бланк!$O$4="_"),3,IF(Бланк!$V$2=T36,HLOOKUP(Бланк!$M$2,Цены[#All],S36,0),""))))</f>
        <v/>
      </c>
      <c r="V36" s="32">
        <f t="shared" ref="V36:V65" si="21">A36</f>
        <v>34</v>
      </c>
      <c r="W36" s="10" t="str">
        <f t="shared" si="8"/>
        <v>3 петли</v>
      </c>
      <c r="X36" s="97" t="str">
        <f>IF(AND(Бланк!M18="О_2",Бланк!F25="МДФ",OR(Бланк!H25="_16мм",Бланк!H25="_16_влаго",Бланк!H27="_16мм",Бланк!H27="_16_влаго")),Цены[[#This Row],[О_2]],IF(AND(X9&gt;0,Бланк!$S$20="",Бланк!$O$20="_"),3,IF(Бланк!$V$18=W36,HLOOKUP(Бланк!$M$18,Цены[#All],V36,0),"")))</f>
        <v/>
      </c>
      <c r="Z36" s="32">
        <f t="shared" si="1"/>
        <v>34</v>
      </c>
      <c r="AA36" s="10" t="str">
        <f t="shared" si="7"/>
        <v>3 петли</v>
      </c>
      <c r="AB36" s="97" t="str">
        <f>IF(AND(Бланк!M34="О_2",Бланк!F41="МДФ",OR(Бланк!H41="_16мм",Бланк!H41="_16_влаго",Бланк!H43="_16мм",Бланк!H43="_16_влаго")),Цены[[#This Row],[О_2]],IF(AND(AB9&gt;0,Бланк!$S$36="",Бланк!$O$36="_"),3,IF(Бланк!$V$34=AA36,HLOOKUP(Бланк!$M$34,Цены[#All],Z36,0),"")))</f>
        <v/>
      </c>
    </row>
    <row r="37" spans="1:28" s="39" customFormat="1" ht="15.75">
      <c r="A37" s="39">
        <f t="shared" si="5"/>
        <v>35</v>
      </c>
      <c r="B37" s="117"/>
      <c r="C37" s="9" t="s">
        <v>614</v>
      </c>
      <c r="D37" s="145">
        <f>D39</f>
        <v>19</v>
      </c>
      <c r="E37" s="145">
        <f>Цены[[#This Row],[О_0]]</f>
        <v>19</v>
      </c>
      <c r="F37" s="482">
        <f>Цены[[#This Row],[О_1]]</f>
        <v>19</v>
      </c>
      <c r="G37" s="482">
        <f>Цены[[#This Row],[О_2]]</f>
        <v>19</v>
      </c>
      <c r="H37" s="482">
        <f>Цены[[#This Row],[М_0]]</f>
        <v>19</v>
      </c>
      <c r="I37" s="482">
        <f>Цены[[#This Row],[М_1]]</f>
        <v>19</v>
      </c>
      <c r="J37" s="482">
        <f>Цены[[#This Row],[М_2]]</f>
        <v>19</v>
      </c>
      <c r="K37" s="118"/>
      <c r="L37" s="75"/>
      <c r="M37" s="75">
        <f t="shared" si="10"/>
        <v>35</v>
      </c>
      <c r="N37" s="594" t="str">
        <f>B36</f>
        <v>петли</v>
      </c>
      <c r="O37" s="583" t="str">
        <f t="shared" ref="O37:O66" si="22">IF(U37=$V$1,"Ошибка-1","")</f>
        <v/>
      </c>
      <c r="P37" s="583" t="str">
        <f t="shared" ref="P37:P66" si="23">IF(X37=$V$1,"Ошибка-2","")</f>
        <v/>
      </c>
      <c r="Q37" s="617" t="str">
        <f t="shared" ref="Q37:Q66" si="24">IF(AB37=$V$1,"Ошибка-3","")</f>
        <v/>
      </c>
      <c r="S37" s="32">
        <f>Цена!A37</f>
        <v>35</v>
      </c>
      <c r="T37" s="10" t="str">
        <f>Цена!C37</f>
        <v>3 скрыт.</v>
      </c>
      <c r="U37" s="97" t="str">
        <f>IF(Бланк!$V$2=T37,HLOOKUP(Бланк!$M$2,Цены[#All],S37,0),"")</f>
        <v/>
      </c>
      <c r="V37" s="32">
        <f t="shared" si="21"/>
        <v>35</v>
      </c>
      <c r="W37" s="10" t="str">
        <f>T37</f>
        <v>3 скрыт.</v>
      </c>
      <c r="X37" s="97" t="str">
        <f>IF(Бланк!$V$18=W37,HLOOKUP(Бланк!$M$18,Цены[#All],V37,0),"")</f>
        <v/>
      </c>
      <c r="Z37" s="32">
        <f>S37</f>
        <v>35</v>
      </c>
      <c r="AA37" s="10" t="str">
        <f>T37</f>
        <v>3 скрыт.</v>
      </c>
      <c r="AB37" s="97" t="str">
        <f>IF(Бланк!$V$34=AA37,HLOOKUP(Бланк!$M$34,Цены[#All],Z37,0),"")</f>
        <v/>
      </c>
    </row>
    <row r="38" spans="1:28" s="39" customFormat="1" ht="15.75">
      <c r="A38" s="39">
        <f t="shared" si="5"/>
        <v>36</v>
      </c>
      <c r="B38" s="125" t="s">
        <v>492</v>
      </c>
      <c r="C38" s="43" t="s">
        <v>80</v>
      </c>
      <c r="D38" s="300">
        <v>5</v>
      </c>
      <c r="E38" s="683">
        <f>Цены[[#This Row],[О_0]]</f>
        <v>5</v>
      </c>
      <c r="F38" s="683">
        <f>Цены[[#This Row],[О_0]]</f>
        <v>5</v>
      </c>
      <c r="G38" s="712">
        <f>Цены[[#This Row],[О_1]]</f>
        <v>5</v>
      </c>
      <c r="H38" s="712">
        <f>Цены[[#This Row],[О_2]]</f>
        <v>5</v>
      </c>
      <c r="I38" s="712">
        <f>Цены[[#This Row],[М_0]]</f>
        <v>5</v>
      </c>
      <c r="J38" s="712">
        <f>Цены[[#This Row],[М_1]]</f>
        <v>5</v>
      </c>
      <c r="K38" s="118"/>
      <c r="L38" s="75"/>
      <c r="M38" s="75">
        <f t="shared" si="10"/>
        <v>36</v>
      </c>
      <c r="N38" s="594" t="str">
        <f>B36</f>
        <v>петли</v>
      </c>
      <c r="O38" s="583" t="str">
        <f t="shared" si="22"/>
        <v/>
      </c>
      <c r="P38" s="583" t="str">
        <f t="shared" si="23"/>
        <v/>
      </c>
      <c r="Q38" s="617" t="str">
        <f t="shared" si="24"/>
        <v/>
      </c>
      <c r="S38" s="32">
        <f>Цена!A38</f>
        <v>36</v>
      </c>
      <c r="T38" s="10" t="str">
        <f>Цена!C38</f>
        <v>3 петли</v>
      </c>
      <c r="U38" s="97" t="str">
        <f>IF(AND(Бланк!$V$2=T38,Бланк!$R$4="2-х створ."),HLOOKUP(Бланк!$M$2,Цены[#All],S38,0),"")</f>
        <v/>
      </c>
      <c r="V38" s="32">
        <f t="shared" si="21"/>
        <v>36</v>
      </c>
      <c r="W38" s="10" t="str">
        <f t="shared" si="8"/>
        <v>3 петли</v>
      </c>
      <c r="X38" s="97" t="str">
        <f>IF(AND(Бланк!$V$18=W38,Бланк!$R$20="2-х створ."),HLOOKUP(Бланк!$M$18,Цены[#All],V38,0),"")</f>
        <v/>
      </c>
      <c r="Z38" s="32">
        <f t="shared" si="1"/>
        <v>36</v>
      </c>
      <c r="AA38" s="10" t="str">
        <f t="shared" si="7"/>
        <v>3 петли</v>
      </c>
      <c r="AB38" s="97" t="str">
        <f>IF(AND(Бланк!$V$34=AA38,Бланк!$R$36="2-х створ."),HLOOKUP(Бланк!$M$34,Цены[#All],Z38,0),"")</f>
        <v/>
      </c>
    </row>
    <row r="39" spans="1:28" ht="15.75">
      <c r="A39" s="39">
        <f t="shared" si="5"/>
        <v>37</v>
      </c>
      <c r="B39" s="124" t="s">
        <v>0</v>
      </c>
      <c r="C39" s="43" t="s">
        <v>297</v>
      </c>
      <c r="D39" s="443">
        <v>19</v>
      </c>
      <c r="E39" s="145">
        <f>Цены[[#This Row],[О_0]]</f>
        <v>19</v>
      </c>
      <c r="F39" s="482">
        <f>Цены[[#This Row],[О_1]]</f>
        <v>19</v>
      </c>
      <c r="G39" s="482">
        <f>Цены[[#This Row],[О_2]]</f>
        <v>19</v>
      </c>
      <c r="H39" s="482">
        <f>Цены[[#This Row],[М_0]]</f>
        <v>19</v>
      </c>
      <c r="I39" s="482">
        <f>Цены[[#This Row],[М_1]]</f>
        <v>19</v>
      </c>
      <c r="J39" s="482">
        <f>Цены[[#This Row],[М_2]]</f>
        <v>19</v>
      </c>
      <c r="K39" s="118"/>
      <c r="L39" s="75"/>
      <c r="M39" s="75">
        <f t="shared" si="10"/>
        <v>37</v>
      </c>
      <c r="N39" s="594" t="str">
        <f>Цены[[#This Row],[Столбец1]]</f>
        <v>открывание</v>
      </c>
      <c r="O39" s="583" t="str">
        <f t="shared" si="22"/>
        <v/>
      </c>
      <c r="P39" s="583" t="str">
        <f t="shared" si="23"/>
        <v/>
      </c>
      <c r="Q39" s="617" t="str">
        <f t="shared" si="24"/>
        <v/>
      </c>
      <c r="S39" s="32">
        <f>Цена!A39</f>
        <v>37</v>
      </c>
      <c r="T39" s="10" t="str">
        <f>Цена!C39</f>
        <v>внутренняя</v>
      </c>
      <c r="U39" s="97" t="str">
        <f>IF(Бланк!$X$2=T39,IF(OR(Бланк!L2="О",Бланк!P2="1.0 мм."),V1,HLOOKUP(Бланк!$M$2,Цены[#All],S39,0)),"")</f>
        <v/>
      </c>
      <c r="V39" s="32">
        <f t="shared" si="21"/>
        <v>37</v>
      </c>
      <c r="W39" s="10" t="str">
        <f t="shared" si="8"/>
        <v>внутренняя</v>
      </c>
      <c r="X39" s="97" t="str">
        <f>IF(Бланк!$X$18=W39,IF(OR(Бланк!L18="О",Бланк!P18="1.0 мм."),Z1,HLOOKUP(Бланк!$M$18,Цены[#All],V39,0)),"")</f>
        <v/>
      </c>
      <c r="Z39" s="32">
        <f t="shared" si="1"/>
        <v>37</v>
      </c>
      <c r="AA39" s="10" t="str">
        <f t="shared" si="7"/>
        <v>внутренняя</v>
      </c>
      <c r="AB39" s="97" t="str">
        <f>IF(Бланк!$X$34=AA39,IF(OR(Бланк!L34="О",Бланк!P34="1.0 мм."),Z1,HLOOKUP(Бланк!$M$34,Цены[#All],Z39,0)),"")</f>
        <v/>
      </c>
    </row>
    <row r="40" spans="1:28" ht="15.75">
      <c r="A40" s="39">
        <f t="shared" si="5"/>
        <v>38</v>
      </c>
      <c r="B40" s="124" t="s">
        <v>58</v>
      </c>
      <c r="C40" s="43" t="s">
        <v>1237</v>
      </c>
      <c r="D40" s="443">
        <v>6</v>
      </c>
      <c r="E40" s="112">
        <f>Цены[[#This Row],[О_0]]</f>
        <v>6</v>
      </c>
      <c r="F40" s="581">
        <f>Цены[[#This Row],[О_1]]</f>
        <v>6</v>
      </c>
      <c r="G40" s="581">
        <f>Цены[[#This Row],[О_2]]</f>
        <v>6</v>
      </c>
      <c r="H40" s="581">
        <f>Цены[[#This Row],[М_0]]</f>
        <v>6</v>
      </c>
      <c r="I40" s="581">
        <f>Цены[[#This Row],[М_1]]</f>
        <v>6</v>
      </c>
      <c r="J40" s="581">
        <f>Цены[[#This Row],[М_2]]</f>
        <v>6</v>
      </c>
      <c r="K40" s="118"/>
      <c r="L40" s="75"/>
      <c r="M40" s="75">
        <f t="shared" si="10"/>
        <v>38</v>
      </c>
      <c r="N40" s="594" t="str">
        <f>Цены[[#This Row],[Столбец1]]</f>
        <v>уплотнитель</v>
      </c>
      <c r="O40" s="583" t="str">
        <f t="shared" si="22"/>
        <v/>
      </c>
      <c r="P40" s="583" t="str">
        <f t="shared" si="23"/>
        <v/>
      </c>
      <c r="Q40" s="617" t="str">
        <f t="shared" si="24"/>
        <v/>
      </c>
      <c r="S40" s="32">
        <f>Цена!A40</f>
        <v>38</v>
      </c>
      <c r="T40" s="10" t="str">
        <f>Цена!C40</f>
        <v>Schlegel</v>
      </c>
      <c r="U40" s="97" t="str">
        <f>IF(Бланк!$I$4=T40,HLOOKUP(Бланк!$M$2,Цены[#All],S40,0),"")</f>
        <v/>
      </c>
      <c r="V40" s="32">
        <f t="shared" si="21"/>
        <v>38</v>
      </c>
      <c r="W40" s="10" t="str">
        <f t="shared" si="8"/>
        <v>Schlegel</v>
      </c>
      <c r="X40" s="97" t="str">
        <f>IF(AND(Бланк!S18="3-х конт.",Бланк!I20="Schlegel "),HLOOKUP(Бланк!$M$18,Цены[#All],V40,0)/2,IF(Бланк!$I$20=W40,HLOOKUP(Бланк!$M$18,Цены[#All],V40,0),""))</f>
        <v/>
      </c>
      <c r="Z40" s="32">
        <f t="shared" si="1"/>
        <v>38</v>
      </c>
      <c r="AA40" s="10" t="str">
        <f t="shared" si="7"/>
        <v>Schlegel</v>
      </c>
      <c r="AB40" s="97" t="str">
        <f>IF(AND(Бланк!S34="3-х конт.",Бланк!I36="Schlegel "),HLOOKUP(Бланк!$M$34,Цены[#All],Z40,0)/2,IF(Бланк!$I$36=AA40,HLOOKUP(Бланк!$M$34,Цены[#All],Z40,0),""))</f>
        <v/>
      </c>
    </row>
    <row r="41" spans="1:28" s="39" customFormat="1" ht="15.75">
      <c r="A41" s="39">
        <f t="shared" si="5"/>
        <v>39</v>
      </c>
      <c r="B41" s="670"/>
      <c r="C41" s="9"/>
      <c r="D41" s="443"/>
      <c r="E41" s="443"/>
      <c r="F41" s="443"/>
      <c r="G41" s="443"/>
      <c r="H41" s="443"/>
      <c r="I41" s="443"/>
      <c r="J41" s="443"/>
      <c r="K41" s="165"/>
      <c r="L41" s="75"/>
      <c r="M41" s="75">
        <f t="shared" si="10"/>
        <v>39</v>
      </c>
      <c r="N41" s="594" t="str">
        <f>B40</f>
        <v>уплотнитель</v>
      </c>
      <c r="O41" s="583" t="str">
        <f t="shared" ref="O41" si="25">IF(U41=$V$1,"Ошибка-1","")</f>
        <v/>
      </c>
      <c r="P41" s="583" t="str">
        <f t="shared" ref="P41" si="26">IF(X41=$V$1,"Ошибка-2","")</f>
        <v/>
      </c>
      <c r="Q41" s="617" t="str">
        <f t="shared" ref="Q41" si="27">IF(AB41=$V$1,"Ошибка-3","")</f>
        <v/>
      </c>
      <c r="S41" s="32">
        <f>Цена!A41</f>
        <v>39</v>
      </c>
      <c r="T41" s="10">
        <f>Цена!C41</f>
        <v>0</v>
      </c>
      <c r="U41" s="97">
        <f>IF(Бланк!$I$4=T41,HLOOKUP(Бланк!$M$2,Цены[#All],S41,0)*(Бланк!V3*2/1000+Бланк!X3*2/1000),"")</f>
        <v>0</v>
      </c>
      <c r="V41" s="32">
        <f t="shared" si="21"/>
        <v>39</v>
      </c>
      <c r="W41" s="10">
        <f t="shared" ref="W41" si="28">T41</f>
        <v>0</v>
      </c>
      <c r="X41" s="97">
        <f>IF(Бланк!$I$20=W41,HLOOKUP(Бланк!$M$18,Цены[#All],V41,0)*(Бланк!V19*2+Бланк!X19*2)/1000,"")</f>
        <v>0</v>
      </c>
      <c r="Z41" s="32">
        <f t="shared" ref="Z41" si="29">S41</f>
        <v>39</v>
      </c>
      <c r="AA41" s="10">
        <f t="shared" ref="AA41" si="30">T41</f>
        <v>0</v>
      </c>
      <c r="AB41" s="97">
        <f>IF(Бланк!$I$36=AA41,HLOOKUP(Бланк!$M$34,Цены[#All],Z41,0)*(Бланк!V35*2+Бланк!X35*2)/1000,"")</f>
        <v>0</v>
      </c>
    </row>
    <row r="42" spans="1:28" ht="15.75">
      <c r="A42" s="39">
        <f t="shared" si="5"/>
        <v>40</v>
      </c>
      <c r="B42" s="124" t="s">
        <v>69</v>
      </c>
      <c r="C42" s="43" t="s">
        <v>533</v>
      </c>
      <c r="D42" s="300">
        <v>17</v>
      </c>
      <c r="E42" s="482">
        <f>Цены[[#This Row],[О_0]]</f>
        <v>17</v>
      </c>
      <c r="F42" s="482">
        <f>Цены[[#This Row],[О_1]]</f>
        <v>17</v>
      </c>
      <c r="G42" s="482">
        <f>Цены[[#This Row],[О_2]]</f>
        <v>17</v>
      </c>
      <c r="H42" s="482">
        <f>Цены[[#This Row],[М_0]]</f>
        <v>17</v>
      </c>
      <c r="I42" s="482">
        <f>Цены[[#This Row],[М_1]]</f>
        <v>17</v>
      </c>
      <c r="J42" s="482">
        <f>Цены[[#This Row],[М_2]]</f>
        <v>17</v>
      </c>
      <c r="K42" s="118"/>
      <c r="L42" s="75"/>
      <c r="M42" s="75">
        <f t="shared" si="10"/>
        <v>40</v>
      </c>
      <c r="N42" s="594" t="str">
        <f>Цены[[#This Row],[Столбец1]]</f>
        <v>накладка</v>
      </c>
      <c r="O42" s="583" t="str">
        <f t="shared" si="22"/>
        <v/>
      </c>
      <c r="P42" s="583" t="str">
        <f t="shared" si="23"/>
        <v/>
      </c>
      <c r="Q42" s="617" t="str">
        <f t="shared" si="24"/>
        <v/>
      </c>
      <c r="S42" s="32">
        <f>Цена!A42</f>
        <v>40</v>
      </c>
      <c r="T42" s="10" t="str">
        <f>Цена!C42</f>
        <v>накладка из Н/С</v>
      </c>
      <c r="U42" s="97">
        <f>IF(Бланк!F13=T42,IF(Бланк!R4="2-х створ.",HLOOKUP(Бланк!$M$2,Цены[#All],S42,0)*1.5,HLOOKUP(Бланк!$M$2,Цены[#All],S42,0)),0)</f>
        <v>0</v>
      </c>
      <c r="V42" s="32">
        <f t="shared" si="21"/>
        <v>40</v>
      </c>
      <c r="W42" s="10" t="str">
        <f t="shared" si="8"/>
        <v>накладка из Н/С</v>
      </c>
      <c r="X42" s="97" t="str">
        <f>IF(Бланк!$F$29=W42,IF(Бланк!R20="2-х створ.",HLOOKUP(Бланк!$M$18,Цены[#All],V42,0)*1.5,HLOOKUP(Бланк!$M$18,Цены[#All],V42,0)),"")</f>
        <v/>
      </c>
      <c r="Z42" s="32">
        <f t="shared" si="1"/>
        <v>40</v>
      </c>
      <c r="AA42" s="10" t="str">
        <f t="shared" si="7"/>
        <v>накладка из Н/С</v>
      </c>
      <c r="AB42" s="97" t="str">
        <f>IF(Бланк!$F$45=AA42,IF(Бланк!R36="2-х створ.",HLOOKUP(Бланк!$M$34,Цены[#All],Z42,0)*1.5,HLOOKUP(Бланк!$M$34,Цены[#All],Z42,0)),"")</f>
        <v/>
      </c>
    </row>
    <row r="43" spans="1:28" ht="15.75">
      <c r="A43" s="39">
        <f t="shared" si="5"/>
        <v>41</v>
      </c>
      <c r="B43" s="43" t="s">
        <v>1063</v>
      </c>
      <c r="C43" s="43" t="s">
        <v>1063</v>
      </c>
      <c r="D43" s="112">
        <v>21</v>
      </c>
      <c r="E43" s="112">
        <f>Цены[[#This Row],[О_0]]</f>
        <v>21</v>
      </c>
      <c r="F43" s="482">
        <f>Цены[[#This Row],[О_1]]</f>
        <v>21</v>
      </c>
      <c r="G43" s="482">
        <f>Цены[[#This Row],[О_2]]</f>
        <v>21</v>
      </c>
      <c r="H43" s="482">
        <f>Цены[[#This Row],[М_0]]</f>
        <v>21</v>
      </c>
      <c r="I43" s="482">
        <f>Цены[[#This Row],[М_1]]</f>
        <v>21</v>
      </c>
      <c r="J43" s="482">
        <f>Цены[[#This Row],[М_2]]</f>
        <v>21</v>
      </c>
      <c r="K43" s="118"/>
      <c r="L43" s="75"/>
      <c r="M43" s="75">
        <f t="shared" si="10"/>
        <v>41</v>
      </c>
      <c r="N43" s="594" t="str">
        <f>Цены[[#This Row],[Столбец1]]</f>
        <v>вставка из н/с</v>
      </c>
      <c r="O43" s="583" t="str">
        <f t="shared" si="22"/>
        <v/>
      </c>
      <c r="P43" s="583" t="str">
        <f t="shared" si="23"/>
        <v/>
      </c>
      <c r="Q43" s="617" t="str">
        <f t="shared" si="24"/>
        <v/>
      </c>
      <c r="S43" s="32">
        <f>Цена!A43</f>
        <v>41</v>
      </c>
      <c r="T43" s="10" t="str">
        <f>Цена!C43</f>
        <v>вставка из н/с</v>
      </c>
      <c r="U43" s="97">
        <f>IF(Бланк!$K$13=T43,HLOOKUP(Бланк!$M$2,Цены[#All],S43,0),0)</f>
        <v>0</v>
      </c>
      <c r="V43" s="32">
        <f t="shared" si="21"/>
        <v>41</v>
      </c>
      <c r="W43" s="10" t="str">
        <f t="shared" si="8"/>
        <v>вставка из н/с</v>
      </c>
      <c r="X43" s="97">
        <f>IF(Бланк!$K$29=W43,HLOOKUP(Бланк!$M$18,Цены[#All],V43,0),0)</f>
        <v>0</v>
      </c>
      <c r="Z43" s="32">
        <f t="shared" si="1"/>
        <v>41</v>
      </c>
      <c r="AA43" s="10" t="str">
        <f t="shared" si="7"/>
        <v>вставка из н/с</v>
      </c>
      <c r="AB43" s="101">
        <f>IF(Бланк!$K$45=AA43,HLOOKUP(Бланк!$M$34,Цены[#All],Z43,0),0)</f>
        <v>0</v>
      </c>
    </row>
    <row r="44" spans="1:28" ht="15.75">
      <c r="A44" s="39">
        <f t="shared" si="5"/>
        <v>42</v>
      </c>
      <c r="B44" s="124" t="s">
        <v>491</v>
      </c>
      <c r="C44" s="43" t="s">
        <v>61</v>
      </c>
      <c r="D44" s="300">
        <v>7</v>
      </c>
      <c r="E44" s="283">
        <f>Цены[[#This Row],[О_0]]</f>
        <v>7</v>
      </c>
      <c r="F44" s="676">
        <f>Цены[[#This Row],[О_1]]</f>
        <v>7</v>
      </c>
      <c r="G44" s="676">
        <f>Цены[[#This Row],[О_2]]</f>
        <v>7</v>
      </c>
      <c r="H44" s="676">
        <f>Цены[[#This Row],[М_0]]</f>
        <v>7</v>
      </c>
      <c r="I44" s="676">
        <f>Цены[[#This Row],[М_1]]</f>
        <v>7</v>
      </c>
      <c r="J44" s="676">
        <f>Цены[[#This Row],[М_2]]</f>
        <v>7</v>
      </c>
      <c r="K44" s="118"/>
      <c r="L44" s="75"/>
      <c r="M44" s="75">
        <f t="shared" si="10"/>
        <v>42</v>
      </c>
      <c r="N44" s="594" t="str">
        <f>Цены[[#This Row],[Столбец1]]</f>
        <v>Геркон</v>
      </c>
      <c r="O44" s="583" t="str">
        <f t="shared" si="22"/>
        <v/>
      </c>
      <c r="P44" s="583" t="str">
        <f t="shared" si="23"/>
        <v/>
      </c>
      <c r="Q44" s="617" t="str">
        <f t="shared" si="24"/>
        <v/>
      </c>
      <c r="S44" s="32">
        <f>Цена!A44</f>
        <v>42</v>
      </c>
      <c r="T44" s="10" t="str">
        <f>Цена!C44</f>
        <v>геркон</v>
      </c>
      <c r="U44" s="97" t="str">
        <f>IF(Бланк!$S$8=T44,HLOOKUP(Бланк!$M$2,Цены[#All],S44,0),"")</f>
        <v/>
      </c>
      <c r="V44" s="32">
        <f t="shared" si="21"/>
        <v>42</v>
      </c>
      <c r="W44" s="10" t="str">
        <f t="shared" si="8"/>
        <v>геркон</v>
      </c>
      <c r="X44" s="97" t="str">
        <f>IF(Бланк!$S$24=W44,HLOOKUP(Бланк!$M$18,Цены[#All],V44,0),"")</f>
        <v/>
      </c>
      <c r="Z44" s="32">
        <f t="shared" si="1"/>
        <v>42</v>
      </c>
      <c r="AA44" s="10" t="str">
        <f t="shared" si="7"/>
        <v>геркон</v>
      </c>
      <c r="AB44" s="97" t="str">
        <f>IF(Бланк!$S$40=AA44,HLOOKUP(Бланк!$M$34,Цены[#All],Z44,0),"")</f>
        <v/>
      </c>
    </row>
    <row r="45" spans="1:28" ht="15.75">
      <c r="A45" s="39">
        <f t="shared" si="5"/>
        <v>43</v>
      </c>
      <c r="B45" s="124" t="s">
        <v>62</v>
      </c>
      <c r="C45" s="43" t="s">
        <v>1340</v>
      </c>
      <c r="D45" s="300">
        <v>25</v>
      </c>
      <c r="E45" s="112">
        <f>Цены[[#This Row],[О_0]]</f>
        <v>25</v>
      </c>
      <c r="F45" s="576">
        <f>Цены[[#This Row],[О_1]]</f>
        <v>25</v>
      </c>
      <c r="G45" s="576">
        <f>Цены[[#This Row],[О_2]]</f>
        <v>25</v>
      </c>
      <c r="H45" s="576">
        <f>Цены[[#This Row],[М_0]]</f>
        <v>25</v>
      </c>
      <c r="I45" s="576">
        <f>Цены[[#This Row],[М_1]]</f>
        <v>25</v>
      </c>
      <c r="J45" s="576">
        <f>Цены[[#This Row],[М_2]]</f>
        <v>25</v>
      </c>
      <c r="K45" s="118"/>
      <c r="L45" s="75"/>
      <c r="M45" s="75">
        <f t="shared" si="10"/>
        <v>43</v>
      </c>
      <c r="N45" s="594" t="str">
        <f>Цены[[#This Row],[Столбец1]]</f>
        <v>полимерный</v>
      </c>
      <c r="O45" s="583" t="str">
        <f t="shared" si="22"/>
        <v/>
      </c>
      <c r="P45" s="583" t="str">
        <f t="shared" si="23"/>
        <v/>
      </c>
      <c r="Q45" s="617" t="str">
        <f t="shared" si="24"/>
        <v/>
      </c>
      <c r="S45" s="32">
        <f>Цена!A45</f>
        <v>43</v>
      </c>
      <c r="T45" s="10" t="str">
        <f>Цена!C45</f>
        <v>грунт-полимер</v>
      </c>
      <c r="U45" s="97" t="str">
        <f>IF(Бланк!$V$10=T45,HLOOKUP(Бланк!$M$2,Цены[#All],S45,0),"")</f>
        <v/>
      </c>
      <c r="V45" s="32">
        <f t="shared" si="21"/>
        <v>43</v>
      </c>
      <c r="W45" s="10" t="str">
        <f t="shared" si="8"/>
        <v>грунт-полимер</v>
      </c>
      <c r="X45" s="97" t="str">
        <f>IF(Бланк!$V$26=W45,HLOOKUP(Бланк!$M$18,Цены[#All],V45,0),"")</f>
        <v/>
      </c>
      <c r="Z45" s="32">
        <f t="shared" si="1"/>
        <v>43</v>
      </c>
      <c r="AA45" s="10" t="str">
        <f t="shared" si="7"/>
        <v>грунт-полимер</v>
      </c>
      <c r="AB45" s="97" t="str">
        <f>IF(Бланк!$V$42=AA45,HLOOKUP(Бланк!$M$34,Цены[#All],Z45,0),"")</f>
        <v/>
      </c>
    </row>
    <row r="46" spans="1:28" ht="15.75">
      <c r="A46" s="39">
        <f t="shared" si="5"/>
        <v>44</v>
      </c>
      <c r="B46" s="124" t="s">
        <v>840</v>
      </c>
      <c r="C46" s="43" t="s">
        <v>840</v>
      </c>
      <c r="D46" s="300">
        <v>7</v>
      </c>
      <c r="E46" s="112">
        <f>Цены[[#This Row],[О_0]]</f>
        <v>7</v>
      </c>
      <c r="F46" s="576">
        <f>Цены[[#This Row],[О_1]]</f>
        <v>7</v>
      </c>
      <c r="G46" s="576">
        <f>Цены[[#This Row],[О_2]]</f>
        <v>7</v>
      </c>
      <c r="H46" s="576">
        <f>Цены[[#This Row],[М_0]]</f>
        <v>7</v>
      </c>
      <c r="I46" s="576">
        <f>Цены[[#This Row],[М_1]]</f>
        <v>7</v>
      </c>
      <c r="J46" s="576">
        <f>Цены[[#This Row],[М_2]]</f>
        <v>7</v>
      </c>
      <c r="K46" s="118"/>
      <c r="L46" s="75"/>
      <c r="M46" s="75">
        <f t="shared" si="10"/>
        <v>44</v>
      </c>
      <c r="N46" s="594" t="str">
        <f>Цены[[#This Row],[Столбец1]]</f>
        <v>Силикон</v>
      </c>
      <c r="O46" s="583" t="str">
        <f t="shared" si="22"/>
        <v/>
      </c>
      <c r="P46" s="583" t="str">
        <f t="shared" si="23"/>
        <v/>
      </c>
      <c r="Q46" s="617" t="str">
        <f t="shared" si="24"/>
        <v/>
      </c>
      <c r="S46" s="32">
        <f>Цена!A46</f>
        <v>44</v>
      </c>
      <c r="T46" s="10" t="str">
        <f>Цена!C46</f>
        <v>Силикон</v>
      </c>
      <c r="U46" s="97" t="str">
        <f>IF(Бланк!$V$10=T46,HLOOKUP(Бланк!$M$2,Цены[#All],S46,0),"")</f>
        <v/>
      </c>
      <c r="V46" s="32">
        <f t="shared" si="21"/>
        <v>44</v>
      </c>
      <c r="W46" s="10" t="str">
        <f t="shared" si="8"/>
        <v>Силикон</v>
      </c>
      <c r="X46" s="97" t="str">
        <f>IF(Бланк!$V$26=W46,HLOOKUP(Бланк!$M$18,Цены[#All],V46,0),"")</f>
        <v/>
      </c>
      <c r="Z46" s="32">
        <f t="shared" si="1"/>
        <v>44</v>
      </c>
      <c r="AA46" s="10" t="str">
        <f t="shared" si="7"/>
        <v>Силикон</v>
      </c>
      <c r="AB46" s="97" t="str">
        <f>IF(Бланк!$V$42=AA46,HLOOKUP(Бланк!$M$34,Цены[#All],Z46,0),"")</f>
        <v/>
      </c>
    </row>
    <row r="47" spans="1:28" s="39" customFormat="1" ht="15.75">
      <c r="A47" s="39">
        <f t="shared" si="5"/>
        <v>45</v>
      </c>
      <c r="B47" s="362"/>
      <c r="C47" s="741" t="s">
        <v>1341</v>
      </c>
      <c r="D47" s="578">
        <f>20*1.12/3.3</f>
        <v>6.787878787878789</v>
      </c>
      <c r="E47" s="578">
        <f t="shared" ref="E47:J47" si="31">20*1.1/3.3</f>
        <v>6.666666666666667</v>
      </c>
      <c r="F47" s="578">
        <f t="shared" si="31"/>
        <v>6.666666666666667</v>
      </c>
      <c r="G47" s="578">
        <f t="shared" si="31"/>
        <v>6.666666666666667</v>
      </c>
      <c r="H47" s="578">
        <f t="shared" si="31"/>
        <v>6.666666666666667</v>
      </c>
      <c r="I47" s="578">
        <f t="shared" si="31"/>
        <v>6.666666666666667</v>
      </c>
      <c r="J47" s="578">
        <f t="shared" si="31"/>
        <v>6.666666666666667</v>
      </c>
      <c r="K47" s="578"/>
      <c r="L47" s="75"/>
      <c r="M47" s="75">
        <f t="shared" si="10"/>
        <v>45</v>
      </c>
      <c r="N47" s="594">
        <f>Цены[[#This Row],[Столбец1]]</f>
        <v>0</v>
      </c>
      <c r="O47" s="583" t="str">
        <f>IF(U47=$V$1,"Ошибка-1","")</f>
        <v/>
      </c>
      <c r="P47" s="583" t="str">
        <f>IF(X47=$V$1,"Ошибка-2","")</f>
        <v/>
      </c>
      <c r="Q47" s="617" t="str">
        <f>IF(AB47=$V$1,"Ошибка-3","")</f>
        <v/>
      </c>
      <c r="S47" s="32">
        <f>Цена!A47</f>
        <v>45</v>
      </c>
      <c r="T47" s="10" t="str">
        <f>Цена!C47</f>
        <v>Грунт СФ</v>
      </c>
      <c r="U47" s="96" t="str">
        <f>IF(Бланк!$V$10=T47,HLOOKUP(Бланк!$M$2,Цены[#All],S47,0),"")</f>
        <v/>
      </c>
      <c r="V47" s="32">
        <f t="shared" ref="V47:V48" si="32">A47</f>
        <v>45</v>
      </c>
      <c r="W47" s="10" t="str">
        <f t="shared" ref="W47:W48" si="33">T47</f>
        <v>Грунт СФ</v>
      </c>
      <c r="X47" s="97">
        <f>IF(Бланк!$V$26=W47,HLOOKUP(Бланк!$M$18,Цены[#All],V47,0),0)</f>
        <v>0</v>
      </c>
      <c r="Z47" s="32">
        <f t="shared" ref="Z47:Z48" si="34">S47</f>
        <v>45</v>
      </c>
      <c r="AA47" s="10" t="str">
        <f t="shared" ref="AA47:AA48" si="35">T47</f>
        <v>Грунт СФ</v>
      </c>
      <c r="AB47" s="97" t="str">
        <f>IF(Бланк!$V$42=AA47,HLOOKUP(Бланк!$M$34,Цены[#All],Z47,0),"")</f>
        <v/>
      </c>
    </row>
    <row r="48" spans="1:28" s="39" customFormat="1" ht="15.75">
      <c r="A48" s="39">
        <f t="shared" si="5"/>
        <v>46</v>
      </c>
      <c r="B48" s="362"/>
      <c r="C48" s="741" t="s">
        <v>1342</v>
      </c>
      <c r="D48" s="578">
        <f>D47+D46</f>
        <v>13.787878787878789</v>
      </c>
      <c r="E48" s="578">
        <f t="shared" ref="E48:J48" si="36">E47+E46</f>
        <v>13.666666666666668</v>
      </c>
      <c r="F48" s="578">
        <f t="shared" si="36"/>
        <v>13.666666666666668</v>
      </c>
      <c r="G48" s="578">
        <f t="shared" si="36"/>
        <v>13.666666666666668</v>
      </c>
      <c r="H48" s="578">
        <f t="shared" si="36"/>
        <v>13.666666666666668</v>
      </c>
      <c r="I48" s="578">
        <f t="shared" si="36"/>
        <v>13.666666666666668</v>
      </c>
      <c r="J48" s="578">
        <f t="shared" si="36"/>
        <v>13.666666666666668</v>
      </c>
      <c r="K48" s="601"/>
      <c r="L48" s="75"/>
      <c r="M48" s="75">
        <f t="shared" si="10"/>
        <v>46</v>
      </c>
      <c r="N48" s="594">
        <f>Цены[[#This Row],[Столбец1]]</f>
        <v>0</v>
      </c>
      <c r="O48" s="583" t="str">
        <f>IF(U48=$V$1,"Ошибка-1","")</f>
        <v/>
      </c>
      <c r="P48" s="583" t="str">
        <f>IF(X48=$V$1,"Ошибка-2","")</f>
        <v/>
      </c>
      <c r="Q48" s="617" t="str">
        <f>IF(AB48=$V$1,"Ошибка-3","")</f>
        <v/>
      </c>
      <c r="S48" s="32">
        <f>Цена!A48</f>
        <v>46</v>
      </c>
      <c r="T48" s="10" t="str">
        <f>Цена!C48</f>
        <v>СФ+Силикон</v>
      </c>
      <c r="U48" s="96" t="str">
        <f>IF(Бланк!$V$10=T48,HLOOKUP(Бланк!$M$2,Цены[#All],S48,0),"")</f>
        <v/>
      </c>
      <c r="V48" s="32">
        <f t="shared" si="32"/>
        <v>46</v>
      </c>
      <c r="W48" s="10" t="str">
        <f t="shared" si="33"/>
        <v>СФ+Силикон</v>
      </c>
      <c r="X48" s="97" t="str">
        <f>IF(Бланк!$V$26=W48,HLOOKUP(Бланк!$M$18,Цены[#All],V48,0),"")</f>
        <v/>
      </c>
      <c r="Z48" s="32">
        <f t="shared" si="34"/>
        <v>46</v>
      </c>
      <c r="AA48" s="10" t="str">
        <f t="shared" si="35"/>
        <v>СФ+Силикон</v>
      </c>
      <c r="AB48" s="97" t="str">
        <f>IF(Бланк!$V$42=AA48,HLOOKUP(Бланк!$M$34,Цены[#All],Z48,0),"")</f>
        <v/>
      </c>
    </row>
    <row r="49" spans="1:30" s="39" customFormat="1" ht="15.75">
      <c r="A49" s="39">
        <f t="shared" si="5"/>
        <v>47</v>
      </c>
      <c r="B49" s="125" t="s">
        <v>428</v>
      </c>
      <c r="C49" s="9"/>
      <c r="D49" s="844" t="s">
        <v>1091</v>
      </c>
      <c r="E49" s="165"/>
      <c r="F49" s="738"/>
      <c r="G49" s="738"/>
      <c r="H49" s="15"/>
      <c r="I49" s="738"/>
      <c r="J49" s="119"/>
      <c r="K49" s="165"/>
      <c r="L49" s="75"/>
      <c r="M49" s="75">
        <f t="shared" si="10"/>
        <v>47</v>
      </c>
      <c r="N49" s="594" t="s">
        <v>489</v>
      </c>
      <c r="O49" s="583" t="str">
        <f t="shared" si="22"/>
        <v/>
      </c>
      <c r="P49" s="583" t="str">
        <f t="shared" si="23"/>
        <v/>
      </c>
      <c r="Q49" s="617" t="str">
        <f t="shared" si="24"/>
        <v/>
      </c>
      <c r="S49" s="32">
        <f>Цена!A49</f>
        <v>47</v>
      </c>
      <c r="T49" s="10"/>
      <c r="U49" s="97">
        <f>материалы!H4</f>
        <v>0</v>
      </c>
      <c r="V49" s="32">
        <f t="shared" si="21"/>
        <v>47</v>
      </c>
      <c r="W49" s="10"/>
      <c r="X49" s="97">
        <f>материалы!I4</f>
        <v>0</v>
      </c>
      <c r="Z49" s="32">
        <f t="shared" si="1"/>
        <v>47</v>
      </c>
      <c r="AA49" s="10"/>
      <c r="AB49" s="97">
        <f>материалы!J4</f>
        <v>0</v>
      </c>
    </row>
    <row r="50" spans="1:30" s="39" customFormat="1" ht="15.75">
      <c r="A50" s="39">
        <f t="shared" si="5"/>
        <v>48</v>
      </c>
      <c r="B50" s="117"/>
      <c r="C50" s="9" t="s">
        <v>841</v>
      </c>
      <c r="D50" s="738">
        <f t="shared" ref="D50:J50" si="37">D45+D46</f>
        <v>32</v>
      </c>
      <c r="E50" s="165">
        <f t="shared" si="37"/>
        <v>32</v>
      </c>
      <c r="F50" s="738">
        <f t="shared" si="37"/>
        <v>32</v>
      </c>
      <c r="G50" s="738">
        <f t="shared" si="37"/>
        <v>32</v>
      </c>
      <c r="H50" s="15">
        <f t="shared" si="37"/>
        <v>32</v>
      </c>
      <c r="I50" s="738">
        <f t="shared" si="37"/>
        <v>32</v>
      </c>
      <c r="J50" s="119">
        <f t="shared" si="37"/>
        <v>32</v>
      </c>
      <c r="K50" s="165"/>
      <c r="L50" s="75"/>
      <c r="M50" s="75">
        <f t="shared" si="10"/>
        <v>48</v>
      </c>
      <c r="N50" s="594" t="s">
        <v>489</v>
      </c>
      <c r="O50" s="583" t="str">
        <f t="shared" si="22"/>
        <v/>
      </c>
      <c r="P50" s="583" t="str">
        <f t="shared" si="23"/>
        <v/>
      </c>
      <c r="Q50" s="617" t="str">
        <f t="shared" si="24"/>
        <v/>
      </c>
      <c r="S50" s="32">
        <f>Цена!A50</f>
        <v>48</v>
      </c>
      <c r="T50" s="10" t="str">
        <f>Цена!C50</f>
        <v>Грунт+Силикон</v>
      </c>
      <c r="U50" s="97" t="str">
        <f>IF(Бланк!$V$10=T50,HLOOKUP(Бланк!$M$2,Цены[#All],S50,0),"")</f>
        <v/>
      </c>
      <c r="V50" s="32">
        <f t="shared" si="21"/>
        <v>48</v>
      </c>
      <c r="W50" s="10" t="str">
        <f t="shared" si="8"/>
        <v>Грунт+Силикон</v>
      </c>
      <c r="X50" s="97" t="str">
        <f>IF(Бланк!$V$26=W50,HLOOKUP(Бланк!$M$18,Цены[#All],V50,0),"")</f>
        <v/>
      </c>
      <c r="Z50" s="32">
        <f t="shared" si="1"/>
        <v>48</v>
      </c>
      <c r="AA50" s="10" t="str">
        <f t="shared" si="7"/>
        <v>Грунт+Силикон</v>
      </c>
      <c r="AB50" s="97" t="str">
        <f>IF(Бланк!$V$42=AA50,HLOOKUP(Бланк!$M$34,Цены[#All],Z50,0),"")</f>
        <v/>
      </c>
    </row>
    <row r="51" spans="1:30" s="39" customFormat="1" ht="15.75">
      <c r="A51" s="39">
        <f t="shared" si="5"/>
        <v>49</v>
      </c>
      <c r="B51" s="117"/>
      <c r="C51" s="9" t="s">
        <v>532</v>
      </c>
      <c r="D51" s="738" t="s">
        <v>1075</v>
      </c>
      <c r="E51" s="165" t="s">
        <v>1075</v>
      </c>
      <c r="F51" s="300">
        <v>50</v>
      </c>
      <c r="G51" s="738" t="s">
        <v>1075</v>
      </c>
      <c r="H51" s="15">
        <f>Цены[[#This Row],[О_2]]</f>
        <v>50</v>
      </c>
      <c r="I51" s="738">
        <f>Цены[[#This Row],[М_1]]</f>
        <v>50</v>
      </c>
      <c r="J51" s="119">
        <f>Цены[[#This Row],[М_2]]</f>
        <v>50</v>
      </c>
      <c r="K51" s="165"/>
      <c r="L51" s="75"/>
      <c r="M51" s="75">
        <f t="shared" si="10"/>
        <v>49</v>
      </c>
      <c r="N51" s="594" t="s">
        <v>489</v>
      </c>
      <c r="O51" s="583" t="str">
        <f t="shared" si="22"/>
        <v/>
      </c>
      <c r="P51" s="583" t="str">
        <f t="shared" si="23"/>
        <v/>
      </c>
      <c r="Q51" s="617" t="str">
        <f t="shared" si="24"/>
        <v/>
      </c>
      <c r="S51" s="32">
        <f>Цена!A51</f>
        <v>49</v>
      </c>
      <c r="T51" s="10" t="str">
        <f>Цена!C51</f>
        <v>ДВУХ-ЦВЕТ</v>
      </c>
      <c r="U51" s="97" t="str">
        <f>IF(Бланк!R9=T51,HLOOKUP(Бланк!$M$2,Цены[#All],S51,0),"")</f>
        <v/>
      </c>
      <c r="V51" s="32">
        <f t="shared" si="21"/>
        <v>49</v>
      </c>
      <c r="W51" s="10" t="str">
        <f>T51</f>
        <v>ДВУХ-ЦВЕТ</v>
      </c>
      <c r="X51" s="97" t="str">
        <f>IF(Бланк!$R$25=W51,HLOOKUP(Бланк!$M$18,Цены[#All],V51,0),"")</f>
        <v/>
      </c>
      <c r="Z51" s="32">
        <f>S51</f>
        <v>49</v>
      </c>
      <c r="AA51" s="10" t="str">
        <f>T51</f>
        <v>ДВУХ-ЦВЕТ</v>
      </c>
      <c r="AB51" s="97" t="str">
        <f>IF(Бланк!$R$41=AA51,HLOOKUP(Бланк!$M$34,Цены[#All],Z51,0),"")</f>
        <v/>
      </c>
    </row>
    <row r="52" spans="1:30" ht="15.75">
      <c r="A52" s="39">
        <f t="shared" si="5"/>
        <v>50</v>
      </c>
      <c r="B52" s="117" t="s">
        <v>63</v>
      </c>
      <c r="C52" s="9" t="s">
        <v>64</v>
      </c>
      <c r="D52" s="738">
        <v>4</v>
      </c>
      <c r="E52" s="165">
        <f>Цены[[#This Row],[О_0]]</f>
        <v>4</v>
      </c>
      <c r="F52" s="738">
        <f>Цены[[#This Row],[О_1]]</f>
        <v>4</v>
      </c>
      <c r="G52" s="738">
        <f>Цены[[#This Row],[О_2]]</f>
        <v>4</v>
      </c>
      <c r="H52" s="15">
        <f>Цены[[#This Row],[М_0]]</f>
        <v>4</v>
      </c>
      <c r="I52" s="738">
        <f>Цены[[#This Row],[М_1]]</f>
        <v>4</v>
      </c>
      <c r="J52" s="119">
        <f>Цены[[#This Row],[М_2]]</f>
        <v>4</v>
      </c>
      <c r="K52" s="165"/>
      <c r="L52" s="75"/>
      <c r="M52" s="75">
        <f t="shared" si="10"/>
        <v>50</v>
      </c>
      <c r="N52" s="594" t="str">
        <f>Цены[[#This Row],[Столбец1]]</f>
        <v>Утеплитель</v>
      </c>
      <c r="O52" s="583" t="str">
        <f t="shared" si="22"/>
        <v/>
      </c>
      <c r="P52" s="583" t="str">
        <f t="shared" si="23"/>
        <v/>
      </c>
      <c r="Q52" s="617" t="str">
        <f t="shared" si="24"/>
        <v/>
      </c>
      <c r="S52" s="32">
        <f>Цена!A52</f>
        <v>50</v>
      </c>
      <c r="T52" s="10" t="str">
        <f>Цена!C52</f>
        <v>Paroc</v>
      </c>
      <c r="U52" s="97" t="str">
        <f>IF(Бланк!$L$4=T52,HLOOKUP(Бланк!$M$2,Цены[#All],S52,0),"")</f>
        <v/>
      </c>
      <c r="V52" s="32">
        <f t="shared" si="21"/>
        <v>50</v>
      </c>
      <c r="W52" s="10" t="str">
        <f t="shared" si="8"/>
        <v>Paroc</v>
      </c>
      <c r="X52" s="97" t="str">
        <f>IF(Бланк!$L$20=W52,HLOOKUP(Бланк!$M$18,Цены[#All],V52,0),"")</f>
        <v/>
      </c>
      <c r="Z52" s="32">
        <f t="shared" si="1"/>
        <v>50</v>
      </c>
      <c r="AA52" s="10" t="str">
        <f t="shared" si="7"/>
        <v>Paroc</v>
      </c>
      <c r="AB52" s="97" t="str">
        <f>IF(Бланк!$L$36=AA52,HLOOKUP(Бланк!$M$34,Цены[#All],Z52,0),"")</f>
        <v/>
      </c>
    </row>
    <row r="53" spans="1:30" ht="15.75">
      <c r="A53" s="39">
        <f t="shared" si="5"/>
        <v>51</v>
      </c>
      <c r="B53" s="117"/>
      <c r="C53" s="9" t="s">
        <v>296</v>
      </c>
      <c r="D53" s="738">
        <v>4</v>
      </c>
      <c r="E53" s="165">
        <f>Цены[[#This Row],[О_0]]</f>
        <v>4</v>
      </c>
      <c r="F53" s="738">
        <f>Цены[[#This Row],[О_1]]</f>
        <v>4</v>
      </c>
      <c r="G53" s="738">
        <f>Цены[[#This Row],[О_2]]</f>
        <v>4</v>
      </c>
      <c r="H53" s="15">
        <f>Цены[[#This Row],[М_0]]</f>
        <v>4</v>
      </c>
      <c r="I53" s="738">
        <f>Цены[[#This Row],[М_1]]</f>
        <v>4</v>
      </c>
      <c r="J53" s="119">
        <f>Цены[[#This Row],[М_2]]</f>
        <v>4</v>
      </c>
      <c r="K53" s="165"/>
      <c r="L53" s="75"/>
      <c r="M53" s="75">
        <f t="shared" si="10"/>
        <v>51</v>
      </c>
      <c r="N53" s="594" t="str">
        <f>N52</f>
        <v>Утеплитель</v>
      </c>
      <c r="O53" s="583" t="str">
        <f t="shared" si="22"/>
        <v/>
      </c>
      <c r="P53" s="583" t="str">
        <f t="shared" si="23"/>
        <v/>
      </c>
      <c r="Q53" s="617" t="str">
        <f t="shared" si="24"/>
        <v/>
      </c>
      <c r="S53" s="32">
        <f>Цена!A53</f>
        <v>51</v>
      </c>
      <c r="T53" s="10" t="str">
        <f>Цена!C53</f>
        <v>Isover х2</v>
      </c>
      <c r="U53" s="97" t="str">
        <f>IF(Бланк!$M$4=T53,HLOOKUP(Бланк!$M$2,Цены[#All],S53,0),"")</f>
        <v/>
      </c>
      <c r="V53" s="32">
        <f t="shared" si="21"/>
        <v>51</v>
      </c>
      <c r="W53" s="10" t="str">
        <f t="shared" si="8"/>
        <v>Isover х2</v>
      </c>
      <c r="X53" s="97" t="str">
        <f>IF(Бланк!$M$20=W53,HLOOKUP(Бланк!$M$18,Цены[#All],V53,0),"")</f>
        <v/>
      </c>
      <c r="Z53" s="32">
        <f t="shared" si="1"/>
        <v>51</v>
      </c>
      <c r="AA53" s="10" t="str">
        <f t="shared" si="7"/>
        <v>Isover х2</v>
      </c>
      <c r="AB53" s="97" t="str">
        <f>IF(Бланк!$M$36=AA53,HLOOKUP(Бланк!$M$34,Цены[#All],Z53,0),"")</f>
        <v/>
      </c>
    </row>
    <row r="54" spans="1:30" s="39" customFormat="1" ht="15.75">
      <c r="A54" s="39">
        <f t="shared" si="5"/>
        <v>52</v>
      </c>
      <c r="B54" s="794" t="s">
        <v>923</v>
      </c>
      <c r="C54" s="9"/>
      <c r="D54" s="738"/>
      <c r="E54" s="165"/>
      <c r="F54" s="738"/>
      <c r="G54" s="738"/>
      <c r="H54" s="15"/>
      <c r="I54" s="738"/>
      <c r="J54" s="119"/>
      <c r="K54" s="165"/>
      <c r="L54" s="583"/>
      <c r="M54" s="75">
        <f t="shared" si="10"/>
        <v>52</v>
      </c>
      <c r="N54" s="594" t="str">
        <f>N53</f>
        <v>Утеплитель</v>
      </c>
      <c r="O54" s="583" t="str">
        <f t="shared" si="22"/>
        <v/>
      </c>
      <c r="P54" s="583" t="str">
        <f t="shared" si="23"/>
        <v/>
      </c>
      <c r="Q54" s="617" t="str">
        <f t="shared" si="24"/>
        <v/>
      </c>
      <c r="S54" s="32">
        <f>Цена!A54</f>
        <v>52</v>
      </c>
      <c r="T54" s="10"/>
      <c r="U54" s="97">
        <f>материалы!B79</f>
        <v>0</v>
      </c>
      <c r="V54" s="32">
        <f t="shared" si="21"/>
        <v>52</v>
      </c>
      <c r="W54" s="10"/>
      <c r="X54" s="97">
        <f>материалы!D79</f>
        <v>0</v>
      </c>
      <c r="Z54" s="32"/>
      <c r="AA54" s="10"/>
      <c r="AB54" s="97">
        <f>материалы!F79</f>
        <v>0</v>
      </c>
    </row>
    <row r="55" spans="1:30" ht="15.75">
      <c r="A55" s="39">
        <f t="shared" si="5"/>
        <v>53</v>
      </c>
      <c r="B55" s="125" t="s">
        <v>65</v>
      </c>
      <c r="C55" s="746" t="s">
        <v>344</v>
      </c>
      <c r="D55" s="738">
        <v>12</v>
      </c>
      <c r="E55" s="165">
        <f>Цены[[#This Row],[О_0]]</f>
        <v>12</v>
      </c>
      <c r="F55" s="738" t="s">
        <v>1075</v>
      </c>
      <c r="G55" s="738">
        <f>Цены[[#This Row],[О_1]]</f>
        <v>12</v>
      </c>
      <c r="H55" s="15">
        <f>Цены[[#This Row],[М_0]]</f>
        <v>12</v>
      </c>
      <c r="I55" s="738" t="s">
        <v>1075</v>
      </c>
      <c r="J55" s="119" t="s">
        <v>1075</v>
      </c>
      <c r="K55" s="165"/>
      <c r="L55" s="75"/>
      <c r="M55" s="75">
        <f t="shared" si="10"/>
        <v>53</v>
      </c>
      <c r="N55" s="594" t="s">
        <v>65</v>
      </c>
      <c r="O55" s="583" t="str">
        <f t="shared" si="22"/>
        <v/>
      </c>
      <c r="P55" s="583" t="str">
        <f t="shared" si="23"/>
        <v/>
      </c>
      <c r="Q55" s="617" t="str">
        <f t="shared" si="24"/>
        <v/>
      </c>
      <c r="S55" s="32">
        <f>Цена!A55</f>
        <v>53</v>
      </c>
      <c r="T55" s="62" t="str">
        <f>Цена!C55</f>
        <v>Винкожа_РФ</v>
      </c>
      <c r="U55" s="97" t="str">
        <f>IF(Бланк!$G$9=T55,HLOOKUP(Бланк!$M$2,Цены[#All],S55,0),"")</f>
        <v/>
      </c>
      <c r="V55" s="32">
        <f t="shared" si="21"/>
        <v>53</v>
      </c>
      <c r="W55" s="10" t="str">
        <f t="shared" si="8"/>
        <v>Винкожа_РФ</v>
      </c>
      <c r="X55" s="97" t="str">
        <f>IF(Бланк!$G$25=W55,HLOOKUP(Бланк!$M$18,Цены[#All],V55,0),"")</f>
        <v/>
      </c>
      <c r="Z55" s="32">
        <f t="shared" si="1"/>
        <v>53</v>
      </c>
      <c r="AA55" s="10" t="str">
        <f t="shared" si="7"/>
        <v>Винкожа_РФ</v>
      </c>
      <c r="AB55" s="97" t="str">
        <f>IF(Бланк!$G$41=AA55,HLOOKUP(Бланк!$M$34,Цены[#All],Z55,0),"")</f>
        <v/>
      </c>
    </row>
    <row r="56" spans="1:30" ht="15.75">
      <c r="A56" s="39">
        <f t="shared" si="5"/>
        <v>54</v>
      </c>
      <c r="B56" s="125"/>
      <c r="C56" s="746" t="s">
        <v>345</v>
      </c>
      <c r="D56" s="738">
        <v>18</v>
      </c>
      <c r="E56" s="165">
        <v>17</v>
      </c>
      <c r="F56" s="738" t="s">
        <v>1075</v>
      </c>
      <c r="G56" s="738">
        <v>17</v>
      </c>
      <c r="H56" s="15">
        <v>17</v>
      </c>
      <c r="I56" s="738" t="s">
        <v>1075</v>
      </c>
      <c r="J56" s="119" t="s">
        <v>1075</v>
      </c>
      <c r="K56" s="165"/>
      <c r="L56" s="75"/>
      <c r="M56" s="75">
        <f t="shared" si="10"/>
        <v>54</v>
      </c>
      <c r="N56" s="594" t="s">
        <v>65</v>
      </c>
      <c r="O56" s="583" t="str">
        <f t="shared" si="22"/>
        <v/>
      </c>
      <c r="P56" s="583" t="str">
        <f t="shared" si="23"/>
        <v/>
      </c>
      <c r="Q56" s="617" t="str">
        <f t="shared" si="24"/>
        <v/>
      </c>
      <c r="S56" s="32">
        <f>Цена!A56</f>
        <v>54</v>
      </c>
      <c r="T56" s="62" t="str">
        <f>Цена!C56</f>
        <v>Винкожа_Индия</v>
      </c>
      <c r="U56" s="97" t="str">
        <f>IF(Бланк!$G$9=T56,HLOOKUP(Бланк!$M$2,Цены[#All],S56,0),"")</f>
        <v/>
      </c>
      <c r="V56" s="32">
        <f t="shared" si="21"/>
        <v>54</v>
      </c>
      <c r="W56" s="10" t="str">
        <f t="shared" si="8"/>
        <v>Винкожа_Индия</v>
      </c>
      <c r="X56" s="97" t="str">
        <f>IF(Бланк!$G$25=W56,HLOOKUP(Бланк!$M$18,Цены[#All],V56,0),"")</f>
        <v/>
      </c>
      <c r="Z56" s="32">
        <f t="shared" si="1"/>
        <v>54</v>
      </c>
      <c r="AA56" s="10" t="str">
        <f t="shared" si="7"/>
        <v>Винкожа_Индия</v>
      </c>
      <c r="AB56" s="97" t="str">
        <f>IF(Бланк!$G$41=AA56,HLOOKUP(Бланк!$M$34,Цены[#All],Z56,0),"")</f>
        <v/>
      </c>
    </row>
    <row r="57" spans="1:30" ht="15.75">
      <c r="A57" s="39">
        <f t="shared" si="5"/>
        <v>55</v>
      </c>
      <c r="B57" s="125" t="s">
        <v>66</v>
      </c>
      <c r="C57" s="9" t="s">
        <v>344</v>
      </c>
      <c r="D57" s="738">
        <v>8</v>
      </c>
      <c r="E57" s="165">
        <v>6</v>
      </c>
      <c r="F57" s="738" t="s">
        <v>1075</v>
      </c>
      <c r="G57" s="738">
        <v>6</v>
      </c>
      <c r="H57" s="15">
        <v>6</v>
      </c>
      <c r="I57" s="738" t="s">
        <v>1075</v>
      </c>
      <c r="J57" s="119" t="s">
        <v>1075</v>
      </c>
      <c r="K57" s="165"/>
      <c r="L57" s="75"/>
      <c r="M57" s="75">
        <f t="shared" si="10"/>
        <v>55</v>
      </c>
      <c r="N57" s="594" t="s">
        <v>66</v>
      </c>
      <c r="O57" s="583" t="str">
        <f t="shared" si="22"/>
        <v/>
      </c>
      <c r="P57" s="583" t="str">
        <f t="shared" si="23"/>
        <v/>
      </c>
      <c r="Q57" s="617" t="str">
        <f t="shared" si="24"/>
        <v/>
      </c>
      <c r="S57" s="32">
        <f>Цена!A57</f>
        <v>55</v>
      </c>
      <c r="T57" s="62" t="str">
        <f>Цена!C57</f>
        <v>Винкожа_РФ</v>
      </c>
      <c r="U57" s="97" t="str">
        <f>IF(Бланк!$G$11=T57,HLOOKUP(Бланк!$M$2,Цены[#All],S57,0),"")</f>
        <v/>
      </c>
      <c r="V57" s="32">
        <f t="shared" si="21"/>
        <v>55</v>
      </c>
      <c r="W57" s="10" t="str">
        <f t="shared" si="8"/>
        <v>Винкожа_РФ</v>
      </c>
      <c r="X57" s="97" t="str">
        <f>IF(Бланк!$G$27=W57,HLOOKUP(Бланк!$M$18,Цены[#All],V57,0),"")</f>
        <v/>
      </c>
      <c r="Z57" s="32">
        <f t="shared" si="1"/>
        <v>55</v>
      </c>
      <c r="AA57" s="10" t="str">
        <f t="shared" si="7"/>
        <v>Винкожа_РФ</v>
      </c>
      <c r="AB57" s="97" t="str">
        <f>IF(Бланк!$G$43=AA57,HLOOKUP(Бланк!$M$34,Цены[#All],Z57,0),"")</f>
        <v/>
      </c>
    </row>
    <row r="58" spans="1:30" ht="15.75">
      <c r="A58" s="39">
        <f t="shared" si="5"/>
        <v>56</v>
      </c>
      <c r="B58" s="125"/>
      <c r="C58" s="9" t="s">
        <v>345</v>
      </c>
      <c r="D58" s="738">
        <v>12</v>
      </c>
      <c r="E58" s="165">
        <v>11</v>
      </c>
      <c r="F58" s="738" t="s">
        <v>1075</v>
      </c>
      <c r="G58" s="738">
        <v>11</v>
      </c>
      <c r="H58" s="15">
        <v>11</v>
      </c>
      <c r="I58" s="738" t="s">
        <v>1075</v>
      </c>
      <c r="J58" s="119" t="s">
        <v>1075</v>
      </c>
      <c r="K58" s="165"/>
      <c r="L58" s="75"/>
      <c r="M58" s="75">
        <f t="shared" si="10"/>
        <v>56</v>
      </c>
      <c r="N58" s="594" t="s">
        <v>66</v>
      </c>
      <c r="O58" s="583" t="str">
        <f t="shared" si="22"/>
        <v/>
      </c>
      <c r="P58" s="583" t="str">
        <f t="shared" si="23"/>
        <v/>
      </c>
      <c r="Q58" s="617" t="str">
        <f t="shared" si="24"/>
        <v/>
      </c>
      <c r="S58" s="32">
        <f>Цена!A58</f>
        <v>56</v>
      </c>
      <c r="T58" s="62" t="str">
        <f>Цена!C58</f>
        <v>Винкожа_Индия</v>
      </c>
      <c r="U58" s="97" t="str">
        <f>IF(Бланк!$G$11=T58,HLOOKUP(Бланк!$M$2,Цены[#All],S58,0),"")</f>
        <v/>
      </c>
      <c r="V58" s="32">
        <f t="shared" si="21"/>
        <v>56</v>
      </c>
      <c r="W58" s="10" t="str">
        <f t="shared" si="8"/>
        <v>Винкожа_Индия</v>
      </c>
      <c r="X58" s="97" t="str">
        <f>IF(Бланк!$G$27=W58,HLOOKUP(Бланк!$M$18,Цены[#All],V58,0),"")</f>
        <v/>
      </c>
      <c r="Z58" s="32">
        <f t="shared" si="1"/>
        <v>56</v>
      </c>
      <c r="AA58" s="10" t="str">
        <f t="shared" si="7"/>
        <v>Винкожа_Индия</v>
      </c>
      <c r="AB58" s="97" t="str">
        <f>IF(Бланк!$G$43=AA58,HLOOKUP(Бланк!$M$34,Цены[#All],Z58,0),"")</f>
        <v/>
      </c>
    </row>
    <row r="59" spans="1:30" s="39" customFormat="1" ht="15.75">
      <c r="A59" s="39">
        <f t="shared" si="5"/>
        <v>57</v>
      </c>
      <c r="B59" s="117" t="s">
        <v>101</v>
      </c>
      <c r="C59" s="9" t="s">
        <v>101</v>
      </c>
      <c r="D59" s="300">
        <v>10</v>
      </c>
      <c r="E59" s="165">
        <f>Цены[[#This Row],[О_0]]</f>
        <v>10</v>
      </c>
      <c r="F59" s="792"/>
      <c r="G59" s="792">
        <f>Цены[[#This Row],[О_0]]</f>
        <v>10</v>
      </c>
      <c r="H59" s="165">
        <f>Цены[[#This Row],[О_0]]</f>
        <v>10</v>
      </c>
      <c r="I59" s="792"/>
      <c r="J59" s="119"/>
      <c r="K59" s="165"/>
      <c r="L59" s="75"/>
      <c r="M59" s="75">
        <f t="shared" si="10"/>
        <v>57</v>
      </c>
      <c r="N59" s="594" t="str">
        <f>Цены[[#This Row],[Столбец1]]</f>
        <v>ДСП</v>
      </c>
      <c r="O59" s="583" t="str">
        <f>IF(U59=$V$1,"Ошибка-1","")</f>
        <v/>
      </c>
      <c r="P59" s="583" t="str">
        <f>IF(X59=$V$1,"Ошибка-2","")</f>
        <v/>
      </c>
      <c r="Q59" s="617" t="str">
        <f>IF(AB59=$V$1,"Ошибка-3","")</f>
        <v/>
      </c>
      <c r="S59" s="32">
        <f>Цена!A59</f>
        <v>57</v>
      </c>
      <c r="T59" s="140" t="str">
        <f t="shared" ref="T59:T65" si="38">C59</f>
        <v>ДСП</v>
      </c>
      <c r="U59" s="97" t="str">
        <f>IF(Бланк!$G$11=T59,HLOOKUP(Бланк!$M$2,Цены[#All],S59,0),"")</f>
        <v/>
      </c>
      <c r="V59" s="32">
        <f t="shared" si="21"/>
        <v>57</v>
      </c>
      <c r="W59" s="10" t="str">
        <f t="shared" si="8"/>
        <v>ДСП</v>
      </c>
      <c r="X59" s="97" t="str">
        <f>IF(Бланк!$G$27=W59,HLOOKUP(Бланк!$M$18,Цены[#All],V59,0),"")</f>
        <v/>
      </c>
      <c r="Z59" s="32">
        <f t="shared" ref="Z59" si="39">S59</f>
        <v>57</v>
      </c>
      <c r="AA59" s="10" t="str">
        <f t="shared" ref="AA59" si="40">T59</f>
        <v>ДСП</v>
      </c>
      <c r="AB59" s="97" t="str">
        <f>IF(Бланк!$G$43=AA59,HLOOKUP(Бланк!$M$34,Цены[#All],Z59,0),"")</f>
        <v/>
      </c>
    </row>
    <row r="60" spans="1:30" s="39" customFormat="1" ht="15.75">
      <c r="A60" s="39">
        <f t="shared" si="5"/>
        <v>58</v>
      </c>
      <c r="B60" s="125" t="s">
        <v>914</v>
      </c>
      <c r="C60" s="9" t="s">
        <v>996</v>
      </c>
      <c r="D60" s="738" t="s">
        <v>1075</v>
      </c>
      <c r="E60" s="165" t="s">
        <v>1075</v>
      </c>
      <c r="F60" s="738"/>
      <c r="G60" s="738" t="s">
        <v>1075</v>
      </c>
      <c r="H60" s="15" t="s">
        <v>1075</v>
      </c>
      <c r="I60" s="738" t="s">
        <v>1075</v>
      </c>
      <c r="J60" s="119"/>
      <c r="K60" s="752">
        <v>38</v>
      </c>
      <c r="L60" s="584"/>
      <c r="M60" s="75">
        <f t="shared" si="10"/>
        <v>58</v>
      </c>
      <c r="N60" s="611" t="s">
        <v>1079</v>
      </c>
      <c r="O60" s="583" t="str">
        <f t="shared" si="22"/>
        <v/>
      </c>
      <c r="P60" s="616" t="str">
        <f t="shared" si="23"/>
        <v/>
      </c>
      <c r="Q60" s="617" t="str">
        <f t="shared" si="24"/>
        <v/>
      </c>
      <c r="S60" s="32">
        <f>Цена!A60</f>
        <v>58</v>
      </c>
      <c r="T60" s="140" t="str">
        <f t="shared" si="38"/>
        <v>_8мм</v>
      </c>
      <c r="U60" s="97" t="str">
        <f>IF(AND(Бланк!M2="Индивид.",Бланк!G9=""),"",IF(Бланк!$H$9=T60,HLOOKUP(Бланк!$M$2,Цены[#All],S60,0),""))</f>
        <v/>
      </c>
      <c r="V60" s="32">
        <f t="shared" si="21"/>
        <v>58</v>
      </c>
      <c r="W60" s="10" t="str">
        <f t="shared" si="8"/>
        <v>_8мм</v>
      </c>
      <c r="X60" s="97" t="str">
        <f>IF(Бланк!$H$25=W60,HLOOKUP(Бланк!$M$18,Цены[#All],V60,0),"")</f>
        <v/>
      </c>
      <c r="Z60" s="32">
        <f t="shared" si="1"/>
        <v>58</v>
      </c>
      <c r="AA60" s="10" t="str">
        <f t="shared" si="7"/>
        <v>_8мм</v>
      </c>
      <c r="AB60" s="97">
        <f>IF(Бланк!$H$41=AA60,HLOOKUP(Бланк!$M$34,Цены[#All],Z60,0),"")</f>
        <v>0</v>
      </c>
      <c r="AD60" s="39" t="str">
        <f>IF(U60=AE57,Цены[[#This Row],[Столбец1]],"")</f>
        <v>МДФ снаружи Замена 8 мм на:</v>
      </c>
    </row>
    <row r="61" spans="1:30" s="39" customFormat="1" ht="15.75">
      <c r="A61" s="39">
        <f t="shared" si="5"/>
        <v>59</v>
      </c>
      <c r="B61" s="125"/>
      <c r="C61" s="9" t="s">
        <v>997</v>
      </c>
      <c r="D61" s="738" t="s">
        <v>1075</v>
      </c>
      <c r="E61" s="165" t="s">
        <v>1075</v>
      </c>
      <c r="F61" s="300">
        <v>13</v>
      </c>
      <c r="G61" s="738" t="s">
        <v>1075</v>
      </c>
      <c r="H61" s="15" t="s">
        <v>1075</v>
      </c>
      <c r="I61" s="738" t="s">
        <v>1075</v>
      </c>
      <c r="J61" s="119">
        <f>Цены[[#This Row],[О_2]]</f>
        <v>13</v>
      </c>
      <c r="K61" s="165">
        <f>$K$60+Цены[[#This Row],[М_3]]</f>
        <v>51</v>
      </c>
      <c r="L61" s="75"/>
      <c r="M61" s="75">
        <f t="shared" si="10"/>
        <v>59</v>
      </c>
      <c r="N61" s="611" t="s">
        <v>1079</v>
      </c>
      <c r="O61" s="583" t="str">
        <f t="shared" si="22"/>
        <v/>
      </c>
      <c r="P61" s="583" t="str">
        <f t="shared" si="23"/>
        <v/>
      </c>
      <c r="Q61" s="617" t="str">
        <f t="shared" si="24"/>
        <v/>
      </c>
      <c r="S61" s="32">
        <f>Цена!A61</f>
        <v>59</v>
      </c>
      <c r="T61" s="140" t="str">
        <f t="shared" si="38"/>
        <v>_8_влаго</v>
      </c>
      <c r="U61" s="97" t="str">
        <f>IF(AND(Бланк!M2="Индивид.",Бланк!G9=""),"",IF(Бланк!$H$9=T61,HLOOKUP(Бланк!$M$2,Цены[#All],S61,0),""))</f>
        <v/>
      </c>
      <c r="V61" s="32">
        <f t="shared" si="21"/>
        <v>59</v>
      </c>
      <c r="W61" s="10" t="str">
        <f t="shared" si="8"/>
        <v>_8_влаго</v>
      </c>
      <c r="X61" s="97" t="str">
        <f>IF(Бланк!$H$25=W61,HLOOKUP(Бланк!$M$18,Цены[#All],V61,0),"")</f>
        <v/>
      </c>
      <c r="Z61" s="32">
        <f t="shared" ref="Z61:AA63" si="41">S61</f>
        <v>59</v>
      </c>
      <c r="AA61" s="10" t="str">
        <f t="shared" si="41"/>
        <v>_8_влаго</v>
      </c>
      <c r="AB61" s="97" t="str">
        <f>IF(Бланк!$H$41=AA61,HLOOKUP(Бланк!$M$34,Цены[#All],Z61,0),"")</f>
        <v/>
      </c>
    </row>
    <row r="62" spans="1:30" s="39" customFormat="1" ht="15.75">
      <c r="A62" s="39">
        <f t="shared" si="5"/>
        <v>60</v>
      </c>
      <c r="B62" s="125"/>
      <c r="C62" s="9" t="s">
        <v>1037</v>
      </c>
      <c r="D62" s="738" t="s">
        <v>1075</v>
      </c>
      <c r="E62" s="165" t="s">
        <v>1075</v>
      </c>
      <c r="F62" s="738">
        <v>2</v>
      </c>
      <c r="G62" s="738" t="s">
        <v>1075</v>
      </c>
      <c r="H62" s="15" t="s">
        <v>1075</v>
      </c>
      <c r="I62" s="738" t="s">
        <v>1075</v>
      </c>
      <c r="J62" s="119">
        <f>Цены[[#This Row],[О_2]]</f>
        <v>2</v>
      </c>
      <c r="K62" s="165">
        <f>$K$60+Цены[[#This Row],[М_3]]</f>
        <v>40</v>
      </c>
      <c r="L62" s="75"/>
      <c r="M62" s="75">
        <f t="shared" si="10"/>
        <v>60</v>
      </c>
      <c r="N62" s="611" t="s">
        <v>1079</v>
      </c>
      <c r="O62" s="583" t="str">
        <f t="shared" si="22"/>
        <v/>
      </c>
      <c r="P62" s="583" t="str">
        <f t="shared" si="23"/>
        <v/>
      </c>
      <c r="Q62" s="617" t="str">
        <f t="shared" si="24"/>
        <v/>
      </c>
      <c r="S62" s="32">
        <f>Цена!A62</f>
        <v>60</v>
      </c>
      <c r="T62" s="140" t="str">
        <f t="shared" si="38"/>
        <v>_10мм</v>
      </c>
      <c r="U62" s="97" t="str">
        <f>IF(AND(Бланк!$M$2="Индивид.",Бланк!$G$9=""),"",IF(Бланк!$H$9=T62,HLOOKUP(Бланк!$M$2,Цены[#All],S62,0),""))</f>
        <v/>
      </c>
      <c r="V62" s="32">
        <f t="shared" si="21"/>
        <v>60</v>
      </c>
      <c r="W62" s="10" t="str">
        <f>T62</f>
        <v>_10мм</v>
      </c>
      <c r="X62" s="97" t="str">
        <f>IF(Бланк!$H$25=W62,HLOOKUP(Бланк!$M$18,Цены[#All],V62,0),"")</f>
        <v/>
      </c>
      <c r="Z62" s="32">
        <f t="shared" si="41"/>
        <v>60</v>
      </c>
      <c r="AA62" s="10" t="str">
        <f t="shared" si="41"/>
        <v>_10мм</v>
      </c>
      <c r="AB62" s="97" t="str">
        <f>IF(Бланк!$H$41=AA62,HLOOKUP(Бланк!$M$34,Цены[#All],Z62,0),"")</f>
        <v/>
      </c>
    </row>
    <row r="63" spans="1:30" s="39" customFormat="1" ht="15.75">
      <c r="A63" s="39">
        <f t="shared" si="5"/>
        <v>61</v>
      </c>
      <c r="B63" s="125"/>
      <c r="C63" s="9" t="s">
        <v>1038</v>
      </c>
      <c r="D63" s="738" t="s">
        <v>1075</v>
      </c>
      <c r="E63" s="165" t="s">
        <v>1075</v>
      </c>
      <c r="F63" s="738">
        <f>F61+F62</f>
        <v>15</v>
      </c>
      <c r="G63" s="738" t="s">
        <v>1075</v>
      </c>
      <c r="H63" s="15" t="s">
        <v>1075</v>
      </c>
      <c r="I63" s="738" t="s">
        <v>1075</v>
      </c>
      <c r="J63" s="119">
        <f>Цены[[#This Row],[О_2]]</f>
        <v>15</v>
      </c>
      <c r="K63" s="165">
        <f>$K$60+Цены[[#This Row],[М_3]]</f>
        <v>53</v>
      </c>
      <c r="L63" s="75"/>
      <c r="M63" s="75">
        <f t="shared" si="10"/>
        <v>61</v>
      </c>
      <c r="N63" s="611" t="s">
        <v>1079</v>
      </c>
      <c r="O63" s="583" t="str">
        <f t="shared" si="22"/>
        <v/>
      </c>
      <c r="P63" s="583" t="str">
        <f t="shared" si="23"/>
        <v/>
      </c>
      <c r="Q63" s="617" t="str">
        <f t="shared" si="24"/>
        <v/>
      </c>
      <c r="S63" s="32">
        <f>Цена!A63</f>
        <v>61</v>
      </c>
      <c r="T63" s="140" t="str">
        <f t="shared" si="38"/>
        <v>_10_влаго</v>
      </c>
      <c r="U63" s="97" t="str">
        <f>IF(AND(Бланк!$M$2="Индивид.",Бланк!$G$9=""),"",IF(Бланк!$H$9=T63,HLOOKUP(Бланк!$M$2,Цены[#All],S63,0),""))</f>
        <v/>
      </c>
      <c r="V63" s="32">
        <f t="shared" si="21"/>
        <v>61</v>
      </c>
      <c r="W63" s="10" t="str">
        <f>T63</f>
        <v>_10_влаго</v>
      </c>
      <c r="X63" s="97" t="str">
        <f>IF(Бланк!$H$25=W63,HLOOKUP(Бланк!$M$18,Цены[#All],V63,0),"")</f>
        <v/>
      </c>
      <c r="Z63" s="32">
        <f t="shared" si="41"/>
        <v>61</v>
      </c>
      <c r="AA63" s="10" t="str">
        <f t="shared" si="41"/>
        <v>_10_влаго</v>
      </c>
      <c r="AB63" s="97" t="str">
        <f>IF(Бланк!$H$41=AA63,HLOOKUP(Бланк!$M$34,Цены[#All],Z63,0),"")</f>
        <v/>
      </c>
    </row>
    <row r="64" spans="1:30" s="39" customFormat="1" ht="15.75">
      <c r="A64" s="39">
        <f t="shared" si="5"/>
        <v>62</v>
      </c>
      <c r="B64" s="117"/>
      <c r="C64" s="9" t="s">
        <v>998</v>
      </c>
      <c r="D64" s="738" t="s">
        <v>1075</v>
      </c>
      <c r="E64" s="165" t="s">
        <v>1075</v>
      </c>
      <c r="F64" s="738">
        <v>6</v>
      </c>
      <c r="G64" s="738" t="s">
        <v>1075</v>
      </c>
      <c r="H64" s="15" t="s">
        <v>1075</v>
      </c>
      <c r="I64" s="738" t="s">
        <v>1075</v>
      </c>
      <c r="J64" s="119">
        <f>Цены[[#This Row],[О_2]]</f>
        <v>6</v>
      </c>
      <c r="K64" s="165">
        <f>$K$60+Цены[[#This Row],[М_3]]</f>
        <v>44</v>
      </c>
      <c r="L64" s="75"/>
      <c r="M64" s="75">
        <f t="shared" si="10"/>
        <v>62</v>
      </c>
      <c r="N64" s="611" t="s">
        <v>1079</v>
      </c>
      <c r="O64" s="583" t="str">
        <f t="shared" si="22"/>
        <v/>
      </c>
      <c r="P64" s="583" t="str">
        <f t="shared" si="23"/>
        <v/>
      </c>
      <c r="Q64" s="617" t="str">
        <f t="shared" si="24"/>
        <v/>
      </c>
      <c r="S64" s="32">
        <f>Цена!A64</f>
        <v>62</v>
      </c>
      <c r="T64" s="140" t="str">
        <f t="shared" si="38"/>
        <v>_12мм</v>
      </c>
      <c r="U64" s="97" t="str">
        <f>IF(AND(Бланк!M2="Индивид.",Бланк!G9=""),"",IF(Бланк!$H$9=T64,HLOOKUP(Бланк!$M$2,Цены[#All],S64,0),""))</f>
        <v/>
      </c>
      <c r="V64" s="32">
        <f t="shared" si="21"/>
        <v>62</v>
      </c>
      <c r="W64" s="10" t="str">
        <f t="shared" si="8"/>
        <v>_12мм</v>
      </c>
      <c r="X64" s="97" t="str">
        <f>IF(Бланк!$H$25=W64,HLOOKUP(Бланк!$M$18,Цены[#All],V64,0),"")</f>
        <v/>
      </c>
      <c r="Z64" s="32">
        <f t="shared" ref="Z64:Z72" si="42">S64</f>
        <v>62</v>
      </c>
      <c r="AA64" s="10" t="str">
        <f t="shared" si="7"/>
        <v>_12мм</v>
      </c>
      <c r="AB64" s="97" t="str">
        <f>IF(Бланк!$H$41=AA64,HLOOKUP(Бланк!$M$34,Цены[#All],Z64,0),"")</f>
        <v/>
      </c>
    </row>
    <row r="65" spans="1:28" s="39" customFormat="1" ht="15.75">
      <c r="A65" s="39">
        <f t="shared" si="5"/>
        <v>63</v>
      </c>
      <c r="B65" s="117"/>
      <c r="C65" s="9" t="s">
        <v>999</v>
      </c>
      <c r="D65" s="738" t="s">
        <v>1075</v>
      </c>
      <c r="E65" s="165" t="s">
        <v>1075</v>
      </c>
      <c r="F65" s="738">
        <f>F61+F64</f>
        <v>19</v>
      </c>
      <c r="G65" s="738" t="s">
        <v>1075</v>
      </c>
      <c r="H65" s="15" t="s">
        <v>1075</v>
      </c>
      <c r="I65" s="738" t="s">
        <v>1075</v>
      </c>
      <c r="J65" s="119">
        <f>Цены[[#This Row],[О_2]]</f>
        <v>19</v>
      </c>
      <c r="K65" s="165">
        <f>$K$60+Цены[[#This Row],[М_3]]</f>
        <v>57</v>
      </c>
      <c r="L65" s="75"/>
      <c r="M65" s="75">
        <f t="shared" si="10"/>
        <v>63</v>
      </c>
      <c r="N65" s="611" t="s">
        <v>1079</v>
      </c>
      <c r="O65" s="583" t="str">
        <f t="shared" si="22"/>
        <v/>
      </c>
      <c r="P65" s="583" t="str">
        <f t="shared" si="23"/>
        <v/>
      </c>
      <c r="Q65" s="617" t="str">
        <f t="shared" si="24"/>
        <v/>
      </c>
      <c r="S65" s="32">
        <f>Цена!A65</f>
        <v>63</v>
      </c>
      <c r="T65" s="140" t="str">
        <f t="shared" si="38"/>
        <v>_12_влаго</v>
      </c>
      <c r="U65" s="97" t="str">
        <f>IF(AND(Бланк!M2="Индивид.",Бланк!G9=""),"",IF(Бланк!$H$9=T65,HLOOKUP(Бланк!$M$2,Цены[#All],S65,0),""))</f>
        <v/>
      </c>
      <c r="V65" s="32">
        <f t="shared" si="21"/>
        <v>63</v>
      </c>
      <c r="W65" s="10" t="str">
        <f t="shared" si="8"/>
        <v>_12_влаго</v>
      </c>
      <c r="X65" s="97" t="str">
        <f>IF(Бланк!$H$25=W65,HLOOKUP(Бланк!$M$18,Цены[#All],V65,0),"")</f>
        <v/>
      </c>
      <c r="Z65" s="32">
        <f t="shared" si="42"/>
        <v>63</v>
      </c>
      <c r="AA65" s="10" t="str">
        <f t="shared" si="7"/>
        <v>_12_влаго</v>
      </c>
      <c r="AB65" s="97" t="str">
        <f>IF(Бланк!$H$41=AA65,HLOOKUP(Бланк!$M$34,Цены[#All],Z65,0),"")</f>
        <v/>
      </c>
    </row>
    <row r="66" spans="1:28" s="39" customFormat="1" ht="15.75">
      <c r="A66" s="39">
        <f t="shared" si="5"/>
        <v>64</v>
      </c>
      <c r="B66" s="117"/>
      <c r="C66" s="9" t="s">
        <v>1000</v>
      </c>
      <c r="D66" s="738" t="s">
        <v>1075</v>
      </c>
      <c r="E66" s="165" t="s">
        <v>1075</v>
      </c>
      <c r="F66" s="738">
        <v>8</v>
      </c>
      <c r="G66" s="738" t="s">
        <v>1075</v>
      </c>
      <c r="H66" s="15" t="s">
        <v>1075</v>
      </c>
      <c r="I66" s="738" t="s">
        <v>1075</v>
      </c>
      <c r="J66" s="119">
        <f>Цены[[#This Row],[О_2]]</f>
        <v>8</v>
      </c>
      <c r="K66" s="165">
        <f>$K$60+Цены[[#This Row],[М_3]]</f>
        <v>46</v>
      </c>
      <c r="L66" s="75"/>
      <c r="M66" s="75">
        <f t="shared" si="10"/>
        <v>64</v>
      </c>
      <c r="N66" s="611" t="s">
        <v>1079</v>
      </c>
      <c r="O66" s="583" t="str">
        <f t="shared" si="22"/>
        <v/>
      </c>
      <c r="P66" s="583" t="str">
        <f t="shared" si="23"/>
        <v/>
      </c>
      <c r="Q66" s="617" t="str">
        <f t="shared" si="24"/>
        <v/>
      </c>
      <c r="S66" s="32">
        <f>Цена!A66</f>
        <v>64</v>
      </c>
      <c r="T66" s="140" t="str">
        <f>C66</f>
        <v>_16мм</v>
      </c>
      <c r="U66" s="97" t="str">
        <f>IF(AND(Бланк!M2="Индивид.",Бланк!G9=""),"",IF(Бланк!$H$9=T66,HLOOKUP(Бланк!$M$2,Цены[#All],S66,0),""))</f>
        <v/>
      </c>
      <c r="V66" s="32">
        <f t="shared" ref="V66:V97" si="43">A66</f>
        <v>64</v>
      </c>
      <c r="W66" s="10" t="str">
        <f t="shared" si="8"/>
        <v>_16мм</v>
      </c>
      <c r="X66" s="97" t="str">
        <f>IF(Бланк!$H$25=W66,HLOOKUP(Бланк!$M$18,Цены[#All],V66,0),"")</f>
        <v/>
      </c>
      <c r="Z66" s="32">
        <f t="shared" si="42"/>
        <v>64</v>
      </c>
      <c r="AA66" s="10" t="str">
        <f t="shared" si="7"/>
        <v>_16мм</v>
      </c>
      <c r="AB66" s="97" t="str">
        <f>IF(Бланк!$H$41=AA66,HLOOKUP(Бланк!$M$34,Цены[#All],Z66,0),"")</f>
        <v/>
      </c>
    </row>
    <row r="67" spans="1:28" s="39" customFormat="1" ht="16.5" thickBot="1">
      <c r="A67" s="39">
        <f t="shared" si="5"/>
        <v>65</v>
      </c>
      <c r="B67" s="116"/>
      <c r="C67" s="9" t="s">
        <v>995</v>
      </c>
      <c r="D67" s="738" t="s">
        <v>1075</v>
      </c>
      <c r="E67" s="165" t="s">
        <v>1075</v>
      </c>
      <c r="F67" s="738">
        <f>F61+F66</f>
        <v>21</v>
      </c>
      <c r="G67" s="738" t="s">
        <v>1075</v>
      </c>
      <c r="H67" s="15" t="s">
        <v>1075</v>
      </c>
      <c r="I67" s="738" t="s">
        <v>1075</v>
      </c>
      <c r="J67" s="119">
        <f>Цены[[#This Row],[О_2]]</f>
        <v>21</v>
      </c>
      <c r="K67" s="165">
        <f>$K$60+Цены[[#This Row],[М_3]]</f>
        <v>59</v>
      </c>
      <c r="L67" s="75"/>
      <c r="M67" s="75">
        <f t="shared" si="10"/>
        <v>65</v>
      </c>
      <c r="N67" s="611" t="s">
        <v>1079</v>
      </c>
      <c r="O67" s="583" t="str">
        <f t="shared" ref="O67:O98" si="44">IF(U67=$V$1,"Ошибка-1","")</f>
        <v/>
      </c>
      <c r="P67" s="583" t="str">
        <f t="shared" ref="P67:P81" si="45">IF(X67=$V$1,"Ошибка-2","")</f>
        <v/>
      </c>
      <c r="Q67" s="617" t="str">
        <f t="shared" ref="Q67:Q81" si="46">IF(AB67=$V$1,"Ошибка-3","")</f>
        <v/>
      </c>
      <c r="S67" s="32">
        <f>Цена!A67</f>
        <v>65</v>
      </c>
      <c r="T67" s="144" t="s">
        <v>435</v>
      </c>
      <c r="U67" s="97" t="str">
        <f>IF(AND(Бланк!M2="Индивид.",Бланк!G9=""),"",IF(Бланк!$H$9=T67,HLOOKUP(Бланк!$M$2,Цены[#All],S67,0),""))</f>
        <v/>
      </c>
      <c r="V67" s="32">
        <f t="shared" si="43"/>
        <v>65</v>
      </c>
      <c r="W67" s="10" t="str">
        <f t="shared" si="8"/>
        <v>_16_влаго</v>
      </c>
      <c r="X67" s="97" t="str">
        <f>IF(Бланк!$H$25=W67,HLOOKUP(Бланк!$M$18,Цены[#All],V67,0),"")</f>
        <v/>
      </c>
      <c r="Z67" s="32">
        <f t="shared" si="42"/>
        <v>65</v>
      </c>
      <c r="AA67" s="10" t="str">
        <f t="shared" si="7"/>
        <v>_16_влаго</v>
      </c>
      <c r="AB67" s="97" t="str">
        <f>IF(Бланк!$H$41=AA67,HLOOKUP(Бланк!$M$34,Цены[#All],Z67,0),"")</f>
        <v/>
      </c>
    </row>
    <row r="68" spans="1:28" s="39" customFormat="1" ht="15.75">
      <c r="A68" s="39">
        <f t="shared" si="5"/>
        <v>66</v>
      </c>
      <c r="B68" s="117"/>
      <c r="C68" s="9" t="s">
        <v>308</v>
      </c>
      <c r="D68" s="738" t="s">
        <v>1075</v>
      </c>
      <c r="E68" s="165" t="s">
        <v>1075</v>
      </c>
      <c r="F68" s="738">
        <v>17</v>
      </c>
      <c r="G68" s="738" t="s">
        <v>1075</v>
      </c>
      <c r="H68" s="15" t="s">
        <v>1075</v>
      </c>
      <c r="I68" s="738" t="s">
        <v>1075</v>
      </c>
      <c r="J68" s="119">
        <f>Цены[[#This Row],[О_2]]</f>
        <v>17</v>
      </c>
      <c r="K68" s="165">
        <f>Цены[[#This Row],[М_3]]</f>
        <v>17</v>
      </c>
      <c r="L68" s="75"/>
      <c r="M68" s="75">
        <f t="shared" si="10"/>
        <v>66</v>
      </c>
      <c r="N68" s="611" t="s">
        <v>1079</v>
      </c>
      <c r="O68" s="583" t="str">
        <f t="shared" si="44"/>
        <v/>
      </c>
      <c r="P68" s="583" t="str">
        <f t="shared" si="45"/>
        <v/>
      </c>
      <c r="Q68" s="617" t="str">
        <f t="shared" si="46"/>
        <v/>
      </c>
      <c r="S68" s="32">
        <f>Цена!A68</f>
        <v>66</v>
      </c>
      <c r="T68" s="62" t="str">
        <f>Цена!C68</f>
        <v>комби.</v>
      </c>
      <c r="U68" s="97" t="str">
        <f>IF(AND(Бланк!M2="Индивид.",Бланк!G9=""),"",IF(AND(Бланк!$M$9=T68,OR(Бланк!$H$9="_8мм",Бланк!$H$9="_10мм",Бланк!$H$9="_12мм",Бланк!$H$9="_12мм.",Бланк!$H$9="_8_влаго",Бланк!$H$9="_10_влаго",Бланк!$H$9="_12_влаго")),HLOOKUP(Бланк!$M$2,Цены[#All],S68,0),""))</f>
        <v/>
      </c>
      <c r="V68" s="32">
        <f t="shared" si="43"/>
        <v>66</v>
      </c>
      <c r="W68" s="10" t="str">
        <f t="shared" si="8"/>
        <v>комби.</v>
      </c>
      <c r="X68" s="97" t="str">
        <f>IF(AND(Бланк!$M$25=W68,OR(Бланк!$H$25="_8мм",Бланк!$H$25="_10мм",Бланк!$H$25="_12мм",Бланк!$H$25="_12мм.",Бланк!$H$25="_8_влаго",Бланк!$H$25="_10_влаго",Бланк!$H$25="_12_влаго")),HLOOKUP(Бланк!$M$18,Цены[#All],V68,0),"")</f>
        <v/>
      </c>
      <c r="Z68" s="32">
        <f t="shared" si="42"/>
        <v>66</v>
      </c>
      <c r="AA68" s="10" t="str">
        <f t="shared" si="7"/>
        <v>комби.</v>
      </c>
      <c r="AB68" s="97" t="str">
        <f>IF(AND(Бланк!$M$41=AA68,OR(Бланк!$H$41="_8мм",Бланк!$H$41="_10мм",Бланк!$H$41="_12мм",Бланк!$H$41="_12мм.",Бланк!$H$41="_8_влаго",Бланк!$H$41="_10_влаго",Бланк!$H$41="_12_влаго")),HLOOKUP(Бланк!$M$34,Цены[#All],Z68,0),"")</f>
        <v/>
      </c>
    </row>
    <row r="69" spans="1:28" s="39" customFormat="1" ht="15.75">
      <c r="A69" s="39">
        <f t="shared" si="5"/>
        <v>67</v>
      </c>
      <c r="B69" s="117" t="s">
        <v>463</v>
      </c>
      <c r="C69" s="9" t="s">
        <v>308</v>
      </c>
      <c r="D69" s="738" t="s">
        <v>1075</v>
      </c>
      <c r="E69" s="165" t="s">
        <v>1075</v>
      </c>
      <c r="F69" s="738">
        <f>F61*2+2</f>
        <v>28</v>
      </c>
      <c r="G69" s="738" t="s">
        <v>1075</v>
      </c>
      <c r="H69" s="15" t="s">
        <v>1075</v>
      </c>
      <c r="I69" s="738" t="s">
        <v>1075</v>
      </c>
      <c r="J69" s="119">
        <f>Цены[[#This Row],[О_2]]</f>
        <v>28</v>
      </c>
      <c r="K69" s="165">
        <f>Цены[[#This Row],[М_3]]</f>
        <v>28</v>
      </c>
      <c r="L69" s="75"/>
      <c r="M69" s="75">
        <f t="shared" si="10"/>
        <v>67</v>
      </c>
      <c r="N69" s="611" t="s">
        <v>1079</v>
      </c>
      <c r="O69" s="583" t="str">
        <f t="shared" si="44"/>
        <v/>
      </c>
      <c r="P69" s="583" t="str">
        <f t="shared" si="45"/>
        <v/>
      </c>
      <c r="Q69" s="617" t="str">
        <f t="shared" si="46"/>
        <v/>
      </c>
      <c r="S69" s="32">
        <f>Цена!A69</f>
        <v>67</v>
      </c>
      <c r="T69" s="62" t="str">
        <f>Цена!C69</f>
        <v>комби.</v>
      </c>
      <c r="U69" s="97" t="str">
        <f>IF(AND(Бланк!M2="Индивид.",Бланк!G9=""),"",IF(AND(Бланк!$M$9=T69,OR(Бланк!$H$9="_16мм",Бланк!$H$9="_16_влаго")),HLOOKUP(Бланк!$M$2,Цены[#All],S69,0),""))</f>
        <v/>
      </c>
      <c r="V69" s="32">
        <f t="shared" si="43"/>
        <v>67</v>
      </c>
      <c r="W69" s="10" t="str">
        <f t="shared" si="8"/>
        <v>комби.</v>
      </c>
      <c r="X69" s="97" t="str">
        <f>IF(AND(Бланк!$M$25=W69,OR(Бланк!$H$25="_16мм",Бланк!$H$25="_16_влаго")),HLOOKUP(Бланк!$M$18,Цены[#All],V69,0),"")</f>
        <v/>
      </c>
      <c r="Z69" s="32">
        <f t="shared" si="42"/>
        <v>67</v>
      </c>
      <c r="AA69" s="10" t="str">
        <f t="shared" si="7"/>
        <v>комби.</v>
      </c>
      <c r="AB69" s="97" t="str">
        <f>IF(AND(Бланк!$M$41=AA69,OR(Бланк!$H$41="_16мм",Бланк!$H$41="_16_влаго")),HLOOKUP(Бланк!$M$34,Цены[#All],Z69,0),"")</f>
        <v/>
      </c>
    </row>
    <row r="70" spans="1:28" s="39" customFormat="1" ht="15.75">
      <c r="A70" s="39">
        <f t="shared" si="5"/>
        <v>68</v>
      </c>
      <c r="B70" s="117"/>
      <c r="C70" s="9" t="s">
        <v>617</v>
      </c>
      <c r="D70" s="738" t="s">
        <v>1075</v>
      </c>
      <c r="E70" s="165" t="s">
        <v>1075</v>
      </c>
      <c r="F70" s="738">
        <f>F69</f>
        <v>28</v>
      </c>
      <c r="G70" s="738" t="s">
        <v>1075</v>
      </c>
      <c r="H70" s="15" t="s">
        <v>1075</v>
      </c>
      <c r="I70" s="738" t="s">
        <v>1075</v>
      </c>
      <c r="J70" s="119">
        <f>Цены[[#This Row],[О_2]]</f>
        <v>28</v>
      </c>
      <c r="K70" s="165">
        <f>Цены[[#This Row],[М_3]]</f>
        <v>28</v>
      </c>
      <c r="L70" s="75"/>
      <c r="M70" s="75">
        <f t="shared" si="10"/>
        <v>68</v>
      </c>
      <c r="N70" s="611" t="s">
        <v>1079</v>
      </c>
      <c r="O70" s="583" t="str">
        <f t="shared" si="44"/>
        <v/>
      </c>
      <c r="P70" s="583" t="str">
        <f t="shared" si="45"/>
        <v/>
      </c>
      <c r="Q70" s="617" t="str">
        <f t="shared" si="46"/>
        <v/>
      </c>
      <c r="S70" s="32">
        <f>Цена!A70</f>
        <v>68</v>
      </c>
      <c r="T70" s="62" t="str">
        <f>Цена!C70</f>
        <v>_3_Д</v>
      </c>
      <c r="U70" s="97" t="str">
        <f>IF(AND(Бланк!M2="Индивид.",Бланк!G9=""),"",IF(Бланк!$M$9=T70,HLOOKUP(Бланк!$M$2,Цены[#All],S70,0),""))</f>
        <v/>
      </c>
      <c r="V70" s="32">
        <f t="shared" si="43"/>
        <v>68</v>
      </c>
      <c r="W70" s="10" t="str">
        <f t="shared" si="8"/>
        <v>_3_Д</v>
      </c>
      <c r="X70" s="97" t="str">
        <f>IF(Бланк!$M$25=W70,HLOOKUP(Бланк!$M$18,Цены[#All],V70,0),"")</f>
        <v/>
      </c>
      <c r="Z70" s="32">
        <f t="shared" si="42"/>
        <v>68</v>
      </c>
      <c r="AA70" s="10" t="str">
        <f t="shared" si="7"/>
        <v>_3_Д</v>
      </c>
      <c r="AB70" s="97" t="str">
        <f>IF(Бланк!$M$41=AA70,HLOOKUP(Бланк!$M$34,Цены[#All],Z70,0),"")</f>
        <v/>
      </c>
    </row>
    <row r="71" spans="1:28" s="39" customFormat="1" ht="15.75">
      <c r="A71" s="39">
        <f t="shared" si="5"/>
        <v>69</v>
      </c>
      <c r="B71" s="117"/>
      <c r="C71" s="9" t="str">
        <f>фрезеровки!N1</f>
        <v>Зеркало_под_МДФ</v>
      </c>
      <c r="D71" s="738" t="s">
        <v>1075</v>
      </c>
      <c r="E71" s="165" t="s">
        <v>1075</v>
      </c>
      <c r="F71" s="738">
        <f>E88</f>
        <v>40</v>
      </c>
      <c r="G71" s="738" t="s">
        <v>1075</v>
      </c>
      <c r="H71" s="15" t="s">
        <v>1075</v>
      </c>
      <c r="I71" s="738" t="s">
        <v>1075</v>
      </c>
      <c r="J71" s="119">
        <f>Цены[[#This Row],[О_2]]</f>
        <v>40</v>
      </c>
      <c r="K71" s="165">
        <f>Цены[[#This Row],[М_3]]</f>
        <v>40</v>
      </c>
      <c r="L71" s="75"/>
      <c r="M71" s="75">
        <f t="shared" si="10"/>
        <v>69</v>
      </c>
      <c r="N71" s="611" t="s">
        <v>1079</v>
      </c>
      <c r="O71" s="583" t="str">
        <f t="shared" si="44"/>
        <v/>
      </c>
      <c r="P71" s="583" t="str">
        <f t="shared" si="45"/>
        <v/>
      </c>
      <c r="Q71" s="617" t="str">
        <f t="shared" si="46"/>
        <v/>
      </c>
      <c r="S71" s="32">
        <f>Цена!A71</f>
        <v>69</v>
      </c>
      <c r="T71" s="62" t="str">
        <f>Цена!C71</f>
        <v>Зеркало_под_МДФ</v>
      </c>
      <c r="U71" s="97" t="str">
        <f>IF(AND(Бланк!M2="Индивид.",Бланк!G9=""),"",IF(Бланк!$M$9=T71,HLOOKUP(Бланк!$M$2,Цены[#All],S71,0),""))</f>
        <v/>
      </c>
      <c r="V71" s="32">
        <f t="shared" si="43"/>
        <v>69</v>
      </c>
      <c r="W71" s="10" t="str">
        <f t="shared" si="8"/>
        <v>Зеркало_под_МДФ</v>
      </c>
      <c r="X71" s="97" t="str">
        <f>IF(Бланк!$M$25=W71,HLOOKUP(Бланк!$M$18,Цены[#All],V71,0),"")</f>
        <v/>
      </c>
      <c r="Z71" s="32">
        <f t="shared" si="42"/>
        <v>69</v>
      </c>
      <c r="AA71" s="10" t="str">
        <f t="shared" si="7"/>
        <v>Зеркало_под_МДФ</v>
      </c>
      <c r="AB71" s="97" t="str">
        <f>IF(Бланк!$M$41=AA71,HLOOKUP(Бланк!$M$34,Цены[#All],Z71,0),"")</f>
        <v/>
      </c>
    </row>
    <row r="72" spans="1:28" s="39" customFormat="1" ht="15.75">
      <c r="A72" s="39">
        <f t="shared" si="5"/>
        <v>70</v>
      </c>
      <c r="B72" s="117"/>
      <c r="C72" s="9" t="str">
        <f>фрезеровки!O1</f>
        <v>зеркало_на_МДФ</v>
      </c>
      <c r="D72" s="738" t="s">
        <v>1075</v>
      </c>
      <c r="E72" s="165" t="s">
        <v>1075</v>
      </c>
      <c r="F72" s="738">
        <f>E89</f>
        <v>55</v>
      </c>
      <c r="G72" s="738" t="s">
        <v>1075</v>
      </c>
      <c r="H72" s="15" t="s">
        <v>1075</v>
      </c>
      <c r="I72" s="738" t="s">
        <v>1075</v>
      </c>
      <c r="J72" s="119">
        <f>Цены[[#This Row],[О_2]]</f>
        <v>55</v>
      </c>
      <c r="K72" s="165">
        <f>Цены[[#This Row],[М_3]]</f>
        <v>55</v>
      </c>
      <c r="L72" s="75"/>
      <c r="M72" s="75">
        <f t="shared" si="10"/>
        <v>70</v>
      </c>
      <c r="N72" s="611" t="s">
        <v>1079</v>
      </c>
      <c r="O72" s="583" t="str">
        <f t="shared" si="44"/>
        <v/>
      </c>
      <c r="P72" s="583" t="str">
        <f t="shared" si="45"/>
        <v/>
      </c>
      <c r="Q72" s="617" t="str">
        <f t="shared" si="46"/>
        <v/>
      </c>
      <c r="S72" s="32">
        <f>Цена!A72</f>
        <v>70</v>
      </c>
      <c r="T72" s="62" t="str">
        <f>Цена!C72</f>
        <v>зеркало_на_МДФ</v>
      </c>
      <c r="U72" s="97" t="str">
        <f>IF(AND(Бланк!M3="Индивид.",Бланк!G10=""),"",IF(Бланк!$M$9=T72,HLOOKUP(Бланк!$M$2,Цены[#All],S72,0),""))</f>
        <v/>
      </c>
      <c r="V72" s="32">
        <f t="shared" si="43"/>
        <v>70</v>
      </c>
      <c r="W72" s="10" t="str">
        <f>T72</f>
        <v>зеркало_на_МДФ</v>
      </c>
      <c r="X72" s="97" t="str">
        <f>IF(Бланк!$M$25=W72,HLOOKUP(Бланк!$M$18,Цены[#All],V72,0),"")</f>
        <v/>
      </c>
      <c r="Z72" s="32">
        <f t="shared" si="42"/>
        <v>70</v>
      </c>
      <c r="AA72" s="10" t="str">
        <f>T72</f>
        <v>зеркало_на_МДФ</v>
      </c>
      <c r="AB72" s="97" t="str">
        <f>IF(Бланк!$M$41=AA72,HLOOKUP(Бланк!$M$34,Цены[#All],Z72,0),"")</f>
        <v/>
      </c>
    </row>
    <row r="73" spans="1:28" s="39" customFormat="1" ht="15.75">
      <c r="A73" s="39">
        <f t="shared" si="5"/>
        <v>71</v>
      </c>
      <c r="B73" s="117"/>
      <c r="C73" s="9" t="s">
        <v>431</v>
      </c>
      <c r="D73" s="738" t="s">
        <v>1075</v>
      </c>
      <c r="E73" s="165" t="s">
        <v>1075</v>
      </c>
      <c r="F73" s="738">
        <v>-16</v>
      </c>
      <c r="G73" s="738" t="s">
        <v>1075</v>
      </c>
      <c r="H73" s="15" t="s">
        <v>1075</v>
      </c>
      <c r="I73" s="738" t="s">
        <v>1075</v>
      </c>
      <c r="J73" s="119">
        <f>Цены[[#This Row],[О_2]]</f>
        <v>-16</v>
      </c>
      <c r="K73" s="165" t="str">
        <f>Цены[[#This Row],[М_2]]</f>
        <v>Ошибка</v>
      </c>
      <c r="L73" s="75"/>
      <c r="M73" s="75">
        <f t="shared" si="10"/>
        <v>71</v>
      </c>
      <c r="N73" s="611" t="s">
        <v>1079</v>
      </c>
      <c r="O73" s="583" t="str">
        <f t="shared" si="44"/>
        <v/>
      </c>
      <c r="P73" s="583" t="str">
        <f t="shared" si="45"/>
        <v/>
      </c>
      <c r="Q73" s="617" t="str">
        <f t="shared" si="46"/>
        <v/>
      </c>
      <c r="S73" s="32">
        <f>Цена!A73</f>
        <v>71</v>
      </c>
      <c r="T73" s="62" t="str">
        <f>Цена!C73</f>
        <v>Заказчика</v>
      </c>
      <c r="U73" s="97" t="str">
        <f>IF(Бланк!I9=T73,HLOOKUP(Бланк!$M$2,Цены[#All],S73,0),"")</f>
        <v/>
      </c>
      <c r="V73" s="32">
        <f t="shared" si="43"/>
        <v>71</v>
      </c>
      <c r="W73" s="10" t="str">
        <f>T73</f>
        <v>Заказчика</v>
      </c>
      <c r="X73" s="97" t="str">
        <f>IF(Бланк!$I$25=W73,HLOOKUP(Бланк!$M$18,Цены[#All],V73,0),"")</f>
        <v/>
      </c>
      <c r="Z73" s="32">
        <f t="shared" ref="Z73:AA81" si="47">S73</f>
        <v>71</v>
      </c>
      <c r="AA73" s="10" t="str">
        <f t="shared" si="47"/>
        <v>Заказчика</v>
      </c>
      <c r="AB73" s="97" t="str">
        <f>IF(Бланк!$I$41=AA73,HLOOKUP(Бланк!$M$34,Цены[#All],Z73,0),"")</f>
        <v/>
      </c>
    </row>
    <row r="74" spans="1:28" s="39" customFormat="1" ht="15.75">
      <c r="A74" s="39">
        <f t="shared" si="5"/>
        <v>72</v>
      </c>
      <c r="B74" s="742" t="s">
        <v>678</v>
      </c>
      <c r="C74" s="373" t="s">
        <v>781</v>
      </c>
      <c r="D74" s="738" t="s">
        <v>1075</v>
      </c>
      <c r="E74" s="165" t="s">
        <v>1075</v>
      </c>
      <c r="F74" s="571">
        <v>170</v>
      </c>
      <c r="G74" s="738" t="s">
        <v>1075</v>
      </c>
      <c r="H74" s="15" t="s">
        <v>1075</v>
      </c>
      <c r="I74" s="738" t="s">
        <v>1075</v>
      </c>
      <c r="J74" s="119">
        <f>Цены[[#This Row],[О_2]]</f>
        <v>170</v>
      </c>
      <c r="K74" s="165">
        <f>$K$60+Цены[[#This Row],[М_3]]</f>
        <v>208</v>
      </c>
      <c r="L74" s="75"/>
      <c r="M74" s="75">
        <f t="shared" si="10"/>
        <v>72</v>
      </c>
      <c r="N74" s="594" t="str">
        <f>Цены[[#This Row],[Столбец1]]</f>
        <v>Фанера снаружи</v>
      </c>
      <c r="O74" s="583" t="str">
        <f t="shared" si="44"/>
        <v/>
      </c>
      <c r="P74" s="583" t="str">
        <f t="shared" si="45"/>
        <v/>
      </c>
      <c r="Q74" s="617" t="str">
        <f t="shared" si="46"/>
        <v/>
      </c>
      <c r="S74" s="32">
        <f>Цена!A74</f>
        <v>72</v>
      </c>
      <c r="T74" s="62" t="str">
        <f>Цена!C74</f>
        <v>Матовая</v>
      </c>
      <c r="U74" s="97" t="str">
        <f>IF(AND(Бланк!M2="Индивид.",Бланк!G9=""),"",IF(Бланк!$F$10=T74,HLOOKUP(Бланк!$M$2,Цены[#All],S74,0),""))</f>
        <v/>
      </c>
      <c r="V74" s="32">
        <f t="shared" si="43"/>
        <v>72</v>
      </c>
      <c r="W74" s="10" t="str">
        <f>T74</f>
        <v>Матовая</v>
      </c>
      <c r="X74" s="97" t="str">
        <f>IF(Бланк!$F$26=W74,HLOOKUP(Бланк!$M$18,Цены[#All],V74,0),"")</f>
        <v/>
      </c>
      <c r="Z74" s="32">
        <f t="shared" si="47"/>
        <v>72</v>
      </c>
      <c r="AA74" s="10" t="str">
        <f t="shared" si="47"/>
        <v>Матовая</v>
      </c>
      <c r="AB74" s="97" t="str">
        <f>IF(Бланк!$F$42=AA74,HLOOKUP(Бланк!$M$34,Цены[#All],Z74,0),"")</f>
        <v/>
      </c>
    </row>
    <row r="75" spans="1:28" s="39" customFormat="1" ht="15.75">
      <c r="A75" s="39">
        <f t="shared" si="5"/>
        <v>73</v>
      </c>
      <c r="B75" s="116"/>
      <c r="C75" s="373" t="s">
        <v>782</v>
      </c>
      <c r="D75" s="738" t="s">
        <v>1075</v>
      </c>
      <c r="E75" s="165" t="s">
        <v>1075</v>
      </c>
      <c r="F75" s="629">
        <f>F74+10</f>
        <v>180</v>
      </c>
      <c r="G75" s="738" t="s">
        <v>1075</v>
      </c>
      <c r="H75" s="15" t="s">
        <v>1075</v>
      </c>
      <c r="I75" s="738" t="s">
        <v>1075</v>
      </c>
      <c r="J75" s="119">
        <f>J74+10</f>
        <v>180</v>
      </c>
      <c r="K75" s="165">
        <f>$K$60+Цены[[#This Row],[М_3]]</f>
        <v>218</v>
      </c>
      <c r="L75" s="75"/>
      <c r="M75" s="75">
        <f t="shared" si="10"/>
        <v>73</v>
      </c>
      <c r="N75" s="594" t="str">
        <f>N74</f>
        <v>Фанера снаружи</v>
      </c>
      <c r="O75" s="583" t="str">
        <f t="shared" si="44"/>
        <v/>
      </c>
      <c r="P75" s="583" t="str">
        <f t="shared" si="45"/>
        <v/>
      </c>
      <c r="Q75" s="617" t="str">
        <f t="shared" si="46"/>
        <v/>
      </c>
      <c r="S75" s="32">
        <f>Цена!A75</f>
        <v>73</v>
      </c>
      <c r="T75" s="62" t="str">
        <f>Цена!C75</f>
        <v>Глянцевая</v>
      </c>
      <c r="U75" s="97" t="str">
        <f>IF(AND(Бланк!M2="Индивид.",Бланк!G9=""),"",IF(Бланк!$F$10=T75,HLOOKUP(Бланк!$M$2,Цены[#All],S75,0),""))</f>
        <v/>
      </c>
      <c r="V75" s="32">
        <f t="shared" si="43"/>
        <v>73</v>
      </c>
      <c r="W75" s="10" t="str">
        <f>T75</f>
        <v>Глянцевая</v>
      </c>
      <c r="X75" s="97" t="str">
        <f>IF(Бланк!$F$26=W75,HLOOKUP(Бланк!$M$18,Цены[#All],V75,0),"")</f>
        <v/>
      </c>
      <c r="Z75" s="32">
        <f t="shared" si="47"/>
        <v>73</v>
      </c>
      <c r="AA75" s="10" t="str">
        <f t="shared" si="47"/>
        <v>Глянцевая</v>
      </c>
      <c r="AB75" s="97" t="str">
        <f>IF(Бланк!$F$42=AA75,HLOOKUP(Бланк!$M$34,Цены[#All],Z75,0),"")</f>
        <v/>
      </c>
    </row>
    <row r="76" spans="1:28" s="44" customFormat="1" ht="15.75">
      <c r="A76" s="39">
        <f t="shared" si="5"/>
        <v>74</v>
      </c>
      <c r="B76" s="762" t="s">
        <v>1011</v>
      </c>
      <c r="C76" s="419"/>
      <c r="D76" s="300"/>
      <c r="E76" s="421"/>
      <c r="F76" s="300"/>
      <c r="G76" s="300"/>
      <c r="H76" s="380"/>
      <c r="I76" s="300"/>
      <c r="J76" s="420"/>
      <c r="K76" s="425"/>
      <c r="L76" s="585"/>
      <c r="M76" s="75">
        <f t="shared" si="10"/>
        <v>74</v>
      </c>
      <c r="N76" s="595" t="str">
        <f>Цены[[#This Row],[Столбец1]]</f>
        <v>Увеличение ст-ти по высоте наружнего щита (Материалы, табл.19)</v>
      </c>
      <c r="O76" s="583" t="str">
        <f t="shared" si="44"/>
        <v/>
      </c>
      <c r="P76" s="585" t="str">
        <f t="shared" si="45"/>
        <v/>
      </c>
      <c r="Q76" s="618" t="str">
        <f t="shared" si="46"/>
        <v/>
      </c>
      <c r="S76" s="535">
        <f>Цена!A76</f>
        <v>74</v>
      </c>
      <c r="T76" s="523"/>
      <c r="U76" s="423">
        <f>материалы!T78</f>
        <v>0</v>
      </c>
      <c r="V76" s="535">
        <f t="shared" si="43"/>
        <v>74</v>
      </c>
      <c r="W76" s="523"/>
      <c r="X76" s="423">
        <f>материалы!V78</f>
        <v>0</v>
      </c>
      <c r="Z76" s="535">
        <f t="shared" si="47"/>
        <v>74</v>
      </c>
      <c r="AA76" s="523"/>
      <c r="AB76" s="423">
        <f>материалы!X78</f>
        <v>0</v>
      </c>
    </row>
    <row r="77" spans="1:28" s="485" customFormat="1" ht="15.75">
      <c r="A77" s="39">
        <f t="shared" si="5"/>
        <v>75</v>
      </c>
      <c r="B77" s="117" t="s">
        <v>915</v>
      </c>
      <c r="C77" s="9" t="s">
        <v>996</v>
      </c>
      <c r="D77" s="738" t="s">
        <v>1075</v>
      </c>
      <c r="E77" s="572">
        <v>20</v>
      </c>
      <c r="F77" s="738"/>
      <c r="G77" s="738" t="s">
        <v>1075</v>
      </c>
      <c r="H77" s="15">
        <f>Цены[[#This Row],[О_1]]</f>
        <v>20</v>
      </c>
      <c r="I77" s="738"/>
      <c r="J77" s="119"/>
      <c r="K77" s="752">
        <f>32</f>
        <v>32</v>
      </c>
      <c r="L77" s="584"/>
      <c r="M77" s="75">
        <f t="shared" si="10"/>
        <v>75</v>
      </c>
      <c r="N77" s="611" t="s">
        <v>1080</v>
      </c>
      <c r="O77" s="583" t="str">
        <f t="shared" si="44"/>
        <v/>
      </c>
      <c r="P77" s="616" t="str">
        <f t="shared" si="45"/>
        <v/>
      </c>
      <c r="Q77" s="617" t="str">
        <f t="shared" si="46"/>
        <v/>
      </c>
      <c r="S77" s="32">
        <f>Цена!A77</f>
        <v>75</v>
      </c>
      <c r="T77" s="486" t="s">
        <v>432</v>
      </c>
      <c r="U77" s="97" t="str">
        <f>IF(AND(Бланк!$M$2="Индивид.",Бланк!$M$11=""),"",IF(AND(OR(Бланк!$G$11="МДФ_без_молд",Бланк!$R$2="3-х конт."),Бланк!$H$11=T77),$V$1,IF(Бланк!$H$11=T77,HLOOKUP(Бланк!$M$2,Цены[#All],S77,0),"")))</f>
        <v/>
      </c>
      <c r="V77" s="32">
        <f t="shared" si="43"/>
        <v>75</v>
      </c>
      <c r="W77" s="487" t="str">
        <f t="shared" si="8"/>
        <v>_8мм</v>
      </c>
      <c r="X77" s="97" t="str">
        <f>IF(AND(OR(Бланк!$G$27="МДФ_без_молд",Бланк!$R$18="3-х конт."),Бланк!$H$27=W77),$Z$1,IF(Бланк!$H$27=W77,HLOOKUP(Бланк!$M$18,Цены[#All],S77,0),""))</f>
        <v/>
      </c>
      <c r="Z77" s="32">
        <f t="shared" si="47"/>
        <v>75</v>
      </c>
      <c r="AA77" s="487" t="str">
        <f t="shared" si="7"/>
        <v>_8мм</v>
      </c>
      <c r="AB77" s="97">
        <f>IF(AND(OR(Бланк!$R$34="3-х конт.",Бланк!$F$43="МДФ_без_молд"),Бланк!$I$43=AA77),$Z$1,IF(Бланк!$H$43=AA77,HLOOKUP(Бланк!$M$34,Цены[#All],Z77,0),""))</f>
        <v>0</v>
      </c>
    </row>
    <row r="78" spans="1:28" ht="15.75">
      <c r="A78" s="39">
        <f t="shared" si="5"/>
        <v>76</v>
      </c>
      <c r="B78" s="117" t="s">
        <v>433</v>
      </c>
      <c r="C78" s="9" t="str">
        <f>B78</f>
        <v>_8_влаго</v>
      </c>
      <c r="D78" s="738" t="s">
        <v>1075</v>
      </c>
      <c r="E78" s="604">
        <f>Цены[[#This Row],[О_2]]+$E$77</f>
        <v>33</v>
      </c>
      <c r="F78" s="577">
        <f>F61</f>
        <v>13</v>
      </c>
      <c r="G78" s="738" t="s">
        <v>1075</v>
      </c>
      <c r="H78" s="15">
        <f>Цены[[#This Row],[О_2]]+$H$77</f>
        <v>33</v>
      </c>
      <c r="I78" s="738">
        <f>Цены[[#This Row],[О_2]]</f>
        <v>13</v>
      </c>
      <c r="J78" s="119">
        <f>Цены[[#This Row],[М_2]]</f>
        <v>13</v>
      </c>
      <c r="K78" s="165">
        <f>$K$77+Цены[[#This Row],[М_3]]</f>
        <v>45</v>
      </c>
      <c r="L78" s="75"/>
      <c r="M78" s="75">
        <f t="shared" si="10"/>
        <v>76</v>
      </c>
      <c r="N78" s="611" t="s">
        <v>1080</v>
      </c>
      <c r="O78" s="583" t="str">
        <f t="shared" si="44"/>
        <v/>
      </c>
      <c r="P78" s="583" t="str">
        <f t="shared" si="45"/>
        <v/>
      </c>
      <c r="Q78" s="617" t="str">
        <f t="shared" si="46"/>
        <v/>
      </c>
      <c r="S78" s="32">
        <f>Цена!A78</f>
        <v>76</v>
      </c>
      <c r="T78" s="140" t="str">
        <f t="shared" ref="T78:T82" si="48">B78</f>
        <v>_8_влаго</v>
      </c>
      <c r="U78" s="97" t="str">
        <f>IF(AND(Бланк!$M$2="Индивид.",Бланк!$M$11=""),"",IF(AND(OR(Бланк!$G$11="МДФ_без_молд",Бланк!$R$2="3-х конт."),Бланк!$H$11=T78),$V$1,IF(Бланк!$H$11=T78,HLOOKUP(Бланк!$M$2,Цены[#All],S78,0),"")))</f>
        <v/>
      </c>
      <c r="V78" s="32">
        <f t="shared" si="43"/>
        <v>76</v>
      </c>
      <c r="W78" s="10" t="str">
        <f>T78</f>
        <v>_8_влаго</v>
      </c>
      <c r="X78" s="97" t="str">
        <f>IF(AND(OR(Бланк!$G$27="МДФ_без_молд",Бланк!$R$18="3-х конт."),Бланк!$H$27=W78),$Z$1,IF(Бланк!$H$27=W78,HLOOKUP(Бланк!$M$18,Цены[#All],S78,0),""))</f>
        <v/>
      </c>
      <c r="Z78" s="32">
        <f t="shared" si="47"/>
        <v>76</v>
      </c>
      <c r="AA78" s="10" t="str">
        <f>T78</f>
        <v>_8_влаго</v>
      </c>
      <c r="AB78" s="97" t="str">
        <f>IF(AND(OR(Бланк!$R$34="3-х конт.",Бланк!$F$43="МДФ_без_молд"),Бланк!$I$43=AA78),$Z$1,IF(Бланк!$H$43=AA78,HLOOKUP(Бланк!$M$34,Цены[#All],Z78,0),""))</f>
        <v/>
      </c>
    </row>
    <row r="79" spans="1:28" s="39" customFormat="1" ht="15.75">
      <c r="A79" s="39">
        <f t="shared" si="5"/>
        <v>77</v>
      </c>
      <c r="B79" s="117" t="s">
        <v>1032</v>
      </c>
      <c r="C79" s="9" t="str">
        <f t="shared" ref="C79:C81" si="49">B79</f>
        <v>_10мм</v>
      </c>
      <c r="D79" s="738" t="s">
        <v>1075</v>
      </c>
      <c r="E79" s="604">
        <f>Цены[[#This Row],[О_2]]+$E$77</f>
        <v>22</v>
      </c>
      <c r="F79" s="300">
        <f>2</f>
        <v>2</v>
      </c>
      <c r="G79" s="738" t="s">
        <v>1075</v>
      </c>
      <c r="H79" s="15">
        <f>Цены[[#This Row],[О_2]]+$H$77</f>
        <v>22</v>
      </c>
      <c r="I79" s="738">
        <f>Цены[[#This Row],[О_2]]</f>
        <v>2</v>
      </c>
      <c r="J79" s="119">
        <f>Цены[[#This Row],[М_2]]</f>
        <v>2</v>
      </c>
      <c r="K79" s="165">
        <f>$K$77+Цены[[#This Row],[М_3]]</f>
        <v>34</v>
      </c>
      <c r="L79" s="75"/>
      <c r="M79" s="75">
        <f t="shared" si="10"/>
        <v>77</v>
      </c>
      <c r="N79" s="611" t="s">
        <v>1080</v>
      </c>
      <c r="O79" s="583" t="str">
        <f t="shared" si="44"/>
        <v/>
      </c>
      <c r="P79" s="583" t="str">
        <f t="shared" si="45"/>
        <v/>
      </c>
      <c r="Q79" s="617" t="str">
        <f t="shared" si="46"/>
        <v/>
      </c>
      <c r="S79" s="32">
        <f>Цена!A79</f>
        <v>77</v>
      </c>
      <c r="T79" s="140" t="str">
        <f t="shared" si="48"/>
        <v>_10мм</v>
      </c>
      <c r="U79" s="97" t="str">
        <f>IF(AND(Бланк!$M$2="Индивид.",Бланк!$M$11=""),"",IF(AND(OR(Бланк!$G$11="МДФ_без_молд",Бланк!$R$2="3-х конт."),Бланк!$H$11=T79),$V$1,IF(Бланк!$H$11=T79,HLOOKUP(Бланк!$M$2,Цены[#All],S79,0),"")))</f>
        <v/>
      </c>
      <c r="V79" s="32">
        <f t="shared" si="43"/>
        <v>77</v>
      </c>
      <c r="W79" s="10" t="str">
        <f>T79</f>
        <v>_10мм</v>
      </c>
      <c r="X79" s="97" t="str">
        <f>IF(AND(OR(Бланк!$G$27="МДФ_без_молд",Бланк!$R$18="3-х конт."),Бланк!$H$27=W79),$Z$1,IF(Бланк!$H$27=W79,HLOOKUP(Бланк!$M$18,Цены[#All],S79,0),""))</f>
        <v/>
      </c>
      <c r="Z79" s="32">
        <f t="shared" si="47"/>
        <v>77</v>
      </c>
      <c r="AA79" s="10" t="str">
        <f>T79</f>
        <v>_10мм</v>
      </c>
      <c r="AB79" s="97" t="str">
        <f>IF(AND(OR(Бланк!$R$34="3-х конт.",Бланк!$F$43="МДФ_без_молд"),Бланк!$I$43=AA79),$Z$1,IF(Бланк!$H$43=AA79,HLOOKUP(Бланк!$M$34,Цены[#All],Z79,0),""))</f>
        <v/>
      </c>
    </row>
    <row r="80" spans="1:28" s="39" customFormat="1" ht="15.75">
      <c r="A80" s="39">
        <f t="shared" si="5"/>
        <v>78</v>
      </c>
      <c r="B80" s="117" t="s">
        <v>1031</v>
      </c>
      <c r="C80" s="9" t="str">
        <f t="shared" si="49"/>
        <v>_10_влаго</v>
      </c>
      <c r="D80" s="738" t="s">
        <v>1075</v>
      </c>
      <c r="E80" s="604">
        <f>Цены[[#This Row],[О_2]]+$E$77</f>
        <v>35</v>
      </c>
      <c r="F80" s="738">
        <f>F78+F79</f>
        <v>15</v>
      </c>
      <c r="G80" s="738" t="s">
        <v>1075</v>
      </c>
      <c r="H80" s="15">
        <f>Цены[[#This Row],[О_2]]+$H$77</f>
        <v>35</v>
      </c>
      <c r="I80" s="738">
        <f>Цены[[#This Row],[О_2]]</f>
        <v>15</v>
      </c>
      <c r="J80" s="119">
        <f>Цены[[#This Row],[М_2]]</f>
        <v>15</v>
      </c>
      <c r="K80" s="165">
        <f>$K$77+Цены[[#This Row],[М_3]]</f>
        <v>47</v>
      </c>
      <c r="L80" s="75"/>
      <c r="M80" s="75">
        <f t="shared" si="10"/>
        <v>78</v>
      </c>
      <c r="N80" s="611" t="s">
        <v>1080</v>
      </c>
      <c r="O80" s="583" t="str">
        <f t="shared" si="44"/>
        <v/>
      </c>
      <c r="P80" s="583" t="str">
        <f t="shared" si="45"/>
        <v/>
      </c>
      <c r="Q80" s="617" t="str">
        <f t="shared" si="46"/>
        <v/>
      </c>
      <c r="S80" s="32">
        <f>Цена!A80</f>
        <v>78</v>
      </c>
      <c r="T80" s="140" t="str">
        <f t="shared" si="48"/>
        <v>_10_влаго</v>
      </c>
      <c r="U80" s="97" t="str">
        <f>IF(AND(Бланк!$M$2="Индивид.",Бланк!$M$11=""),"",IF(AND(OR(Бланк!$G$11="МДФ_без_молд",Бланк!$R$2="3-х конт."),Бланк!$H$11=T80),$V$1,IF(Бланк!$H$11=T80,HLOOKUP(Бланк!$M$2,Цены[#All],S80,0),"")))</f>
        <v/>
      </c>
      <c r="V80" s="32">
        <f t="shared" si="43"/>
        <v>78</v>
      </c>
      <c r="W80" s="10" t="str">
        <f>T80</f>
        <v>_10_влаго</v>
      </c>
      <c r="X80" s="97" t="str">
        <f>IF(AND(OR(Бланк!$G$27="МДФ_без_молд",Бланк!$R$18="3-х конт."),Бланк!$H$27=W80),$Z$1,IF(Бланк!$H$27=W80,HLOOKUP(Бланк!$M$18,Цены[#All],S80,0),""))</f>
        <v/>
      </c>
      <c r="Z80" s="32">
        <f t="shared" si="47"/>
        <v>78</v>
      </c>
      <c r="AA80" s="10" t="str">
        <f>T80</f>
        <v>_10_влаго</v>
      </c>
      <c r="AB80" s="97" t="str">
        <f>IF(AND(OR(Бланк!$R$34="3-х конт.",Бланк!$F$43="МДФ_без_молд"),Бланк!$I$43=AA80),$Z$1,IF(Бланк!$H$43=AA80,HLOOKUP(Бланк!$M$34,Цены[#All],Z80,0),""))</f>
        <v/>
      </c>
    </row>
    <row r="81" spans="1:28" ht="15.75">
      <c r="A81" s="39">
        <f t="shared" si="5"/>
        <v>79</v>
      </c>
      <c r="B81" s="117" t="s">
        <v>832</v>
      </c>
      <c r="C81" s="9" t="str">
        <f t="shared" si="49"/>
        <v>_12мм</v>
      </c>
      <c r="D81" s="738" t="s">
        <v>1075</v>
      </c>
      <c r="E81" s="604">
        <f>Цены[[#This Row],[О_2]]+$E$77</f>
        <v>26</v>
      </c>
      <c r="F81" s="738">
        <f>F64</f>
        <v>6</v>
      </c>
      <c r="G81" s="738" t="s">
        <v>1075</v>
      </c>
      <c r="H81" s="15">
        <f>Цены[[#This Row],[О_2]]+$H$77</f>
        <v>26</v>
      </c>
      <c r="I81" s="738">
        <f>Цены[[#This Row],[О_2]]</f>
        <v>6</v>
      </c>
      <c r="J81" s="119">
        <f>Цены[[#This Row],[М_2]]</f>
        <v>6</v>
      </c>
      <c r="K81" s="165">
        <f>$K$77+Цены[[#This Row],[М_3]]</f>
        <v>38</v>
      </c>
      <c r="L81" s="75"/>
      <c r="M81" s="75">
        <f t="shared" si="10"/>
        <v>79</v>
      </c>
      <c r="N81" s="611" t="s">
        <v>1080</v>
      </c>
      <c r="O81" s="583" t="str">
        <f t="shared" si="44"/>
        <v/>
      </c>
      <c r="P81" s="583" t="str">
        <f t="shared" si="45"/>
        <v/>
      </c>
      <c r="Q81" s="617" t="str">
        <f t="shared" si="46"/>
        <v/>
      </c>
      <c r="S81" s="32">
        <f>Цена!A81</f>
        <v>79</v>
      </c>
      <c r="T81" s="140" t="str">
        <f t="shared" si="48"/>
        <v>_12мм</v>
      </c>
      <c r="U81" s="97" t="str">
        <f>IF(AND(Бланк!$M$2="Индивид.",Бланк!$M$11=""),"",IF(AND(OR(Бланк!$G$11="МДФ_без_молд",Бланк!$R$2="3-х конт."),Бланк!$H$11=T81),$V$1,IF(Бланк!$H$11=T81,HLOOKUP(Бланк!$M$2,Цены[#All],S81,0),"")))</f>
        <v/>
      </c>
      <c r="V81" s="32">
        <f t="shared" si="43"/>
        <v>79</v>
      </c>
      <c r="W81" s="10" t="str">
        <f>T81</f>
        <v>_12мм</v>
      </c>
      <c r="X81" s="97" t="str">
        <f>IF(AND(OR(Бланк!$G$27="МДФ_без_молд",Бланк!$R$18="3-х конт."),Бланк!$H$27=W81),$Z$1,IF(Бланк!$H$27=W81,HLOOKUP(Бланк!$M$18,Цены[#All],S81,0),""))</f>
        <v/>
      </c>
      <c r="Z81" s="32">
        <f t="shared" si="47"/>
        <v>79</v>
      </c>
      <c r="AA81" s="10" t="str">
        <f>T81</f>
        <v>_12мм</v>
      </c>
      <c r="AB81" s="97" t="str">
        <f>IF(AND(OR(Бланк!$R$34="3-х конт.",Бланк!$F$43="МДФ_без_молд"),Бланк!$I$43=AA81),$Z$1,IF(Бланк!$H$43=AA81,HLOOKUP(Бланк!$M$34,Цены[#All],Z81,0),""))</f>
        <v/>
      </c>
    </row>
    <row r="82" spans="1:28" s="39" customFormat="1" ht="15.75">
      <c r="A82" s="39">
        <f t="shared" si="5"/>
        <v>80</v>
      </c>
      <c r="B82" s="117" t="s">
        <v>833</v>
      </c>
      <c r="C82" s="9" t="s">
        <v>999</v>
      </c>
      <c r="D82" s="738" t="s">
        <v>1075</v>
      </c>
      <c r="E82" s="604">
        <f>Цены[[#This Row],[О_2]]+$E$77</f>
        <v>39</v>
      </c>
      <c r="F82" s="738">
        <f>F78+F81</f>
        <v>19</v>
      </c>
      <c r="G82" s="738" t="s">
        <v>1075</v>
      </c>
      <c r="H82" s="15">
        <f>Цены[[#This Row],[О_2]]+$H$77</f>
        <v>39</v>
      </c>
      <c r="I82" s="738">
        <f>Цены[[#This Row],[О_2]]</f>
        <v>19</v>
      </c>
      <c r="J82" s="119">
        <f>Цены[[#This Row],[М_2]]</f>
        <v>19</v>
      </c>
      <c r="K82" s="165">
        <f>$K$77+Цены[[#This Row],[М_3]]</f>
        <v>51</v>
      </c>
      <c r="L82" s="75"/>
      <c r="M82" s="75">
        <f t="shared" si="10"/>
        <v>80</v>
      </c>
      <c r="N82" s="611" t="s">
        <v>1080</v>
      </c>
      <c r="O82" s="583" t="str">
        <f t="shared" si="44"/>
        <v/>
      </c>
      <c r="P82" s="583" t="str">
        <f t="shared" ref="P82:P145" si="50">IF(X82=$V$1,"Ошибка-2","")</f>
        <v/>
      </c>
      <c r="Q82" s="617" t="str">
        <f t="shared" ref="Q82:Q145" si="51">IF(AB82=$V$1,"Ошибка-3","")</f>
        <v/>
      </c>
      <c r="S82" s="32">
        <f>Цена!A82</f>
        <v>80</v>
      </c>
      <c r="T82" s="140" t="str">
        <f t="shared" si="48"/>
        <v>_12_влаго</v>
      </c>
      <c r="U82" s="97" t="str">
        <f>IF(AND(Бланк!$M$2="Индивид.",Бланк!$M$11=""),"",IF(AND(OR(Бланк!$G$11="МДФ_без_молд",Бланк!$R$2="3-х конт."),Бланк!$H$11=T82),$V$1,IF(Бланк!$H$11=T82,HLOOKUP(Бланк!$M$2,Цены[#All],S82,0),"")))</f>
        <v/>
      </c>
      <c r="V82" s="32">
        <f t="shared" si="43"/>
        <v>80</v>
      </c>
      <c r="W82" s="10" t="str">
        <f t="shared" si="8"/>
        <v>_12_влаго</v>
      </c>
      <c r="X82" s="97" t="str">
        <f>IF(AND(OR(Бланк!$G$27="МДФ_без_молд",Бланк!$R$18="3-х конт."),Бланк!$H$27=W82),$Z$1,IF(Бланк!$H$27=W82,HLOOKUP(Бланк!$M$18,Цены[#All],S82,0),""))</f>
        <v/>
      </c>
      <c r="Z82" s="32">
        <f t="shared" ref="Z82:Z88" si="52">S82</f>
        <v>80</v>
      </c>
      <c r="AA82" s="10" t="str">
        <f t="shared" si="7"/>
        <v>_12_влаго</v>
      </c>
      <c r="AB82" s="97" t="str">
        <f>IF(AND(OR(Бланк!$R$34="3-х конт.",Бланк!$F$43="МДФ_без_молд"),Бланк!$I$43=AA82),$Z$1,IF(Бланк!$H$43=AA82,HLOOKUP(Бланк!$M$34,Цены[#All],Z82,0),""))</f>
        <v/>
      </c>
    </row>
    <row r="83" spans="1:28" ht="15.75">
      <c r="A83" s="39">
        <f t="shared" si="5"/>
        <v>81</v>
      </c>
      <c r="B83" s="117" t="s">
        <v>434</v>
      </c>
      <c r="C83" s="9" t="s">
        <v>1000</v>
      </c>
      <c r="D83" s="738" t="s">
        <v>1075</v>
      </c>
      <c r="E83" s="604">
        <f>Цены[[#This Row],[О_2]]+$E$77</f>
        <v>28</v>
      </c>
      <c r="F83" s="738">
        <f>F66</f>
        <v>8</v>
      </c>
      <c r="G83" s="738" t="s">
        <v>1075</v>
      </c>
      <c r="H83" s="15">
        <f>Цены[[#This Row],[О_2]]+$H$77</f>
        <v>28</v>
      </c>
      <c r="I83" s="738">
        <f>Цены[[#This Row],[О_2]]</f>
        <v>8</v>
      </c>
      <c r="J83" s="119">
        <f>Цены[[#This Row],[М_2]]</f>
        <v>8</v>
      </c>
      <c r="K83" s="165">
        <f>$K$77+Цены[[#This Row],[М_3]]</f>
        <v>40</v>
      </c>
      <c r="L83" s="75"/>
      <c r="M83" s="75">
        <f t="shared" si="10"/>
        <v>81</v>
      </c>
      <c r="N83" s="611" t="s">
        <v>1080</v>
      </c>
      <c r="O83" s="583" t="str">
        <f t="shared" si="44"/>
        <v/>
      </c>
      <c r="P83" s="583" t="str">
        <f t="shared" si="50"/>
        <v/>
      </c>
      <c r="Q83" s="617" t="str">
        <f t="shared" si="51"/>
        <v/>
      </c>
      <c r="S83" s="32">
        <f>Цена!A83</f>
        <v>81</v>
      </c>
      <c r="T83" s="140" t="str">
        <f>B83</f>
        <v>_16мм</v>
      </c>
      <c r="U83" s="97" t="str">
        <f>IF(AND(Бланк!M2="Индивид.",Бланк!M11=""),"",IF(Бланк!$H$11=T83,IF(OR(Бланк!$O$7="Фуаро 900",Бланк!$O$7="Кале 152",Бланк!$O$7="Kale 155 рол.",Бланк!$O$7="Kale155-В рол."),$V$1,HLOOKUP(Бланк!$M$2,Цены[#All],S83,0)),""))</f>
        <v/>
      </c>
      <c r="V83" s="32">
        <f t="shared" si="43"/>
        <v>81</v>
      </c>
      <c r="W83" s="10" t="str">
        <f t="shared" si="8"/>
        <v>_16мм</v>
      </c>
      <c r="X83" s="97" t="str">
        <f>IF(Бланк!$H$27=W83,IF(OR(Бланк!$O$23="Фуаро 900",Бланк!$O$23="Кале 152",Бланк!$O$23="Kale 155 рол.",Бланк!$O$23="Kale155-В рол."),$V$1,HLOOKUP(Бланк!$M$18,Цены[#All],V83,0)),"")</f>
        <v/>
      </c>
      <c r="Z83" s="32">
        <f t="shared" si="52"/>
        <v>81</v>
      </c>
      <c r="AA83" s="10" t="str">
        <f t="shared" si="7"/>
        <v>_16мм</v>
      </c>
      <c r="AB83" s="97" t="str">
        <f>IF(Бланк!$H$43=AA83,IF(OR(Бланк!$O$39="Фуаро 900",Бланк!$O$39="Кале 152",Бланк!$O$39="Kale 155 рол.",Бланк!$O$39="Kale155-В рол."),$V$1,HLOOKUP(Бланк!$M$34,Цены[#All],Z83,0)),"")</f>
        <v/>
      </c>
    </row>
    <row r="84" spans="1:28" s="39" customFormat="1" ht="16.5" thickBot="1">
      <c r="A84" s="39">
        <f t="shared" si="5"/>
        <v>82</v>
      </c>
      <c r="B84" s="117" t="s">
        <v>435</v>
      </c>
      <c r="C84" s="9" t="s">
        <v>995</v>
      </c>
      <c r="D84" s="738" t="s">
        <v>1075</v>
      </c>
      <c r="E84" s="604">
        <f>Цены[[#This Row],[О_2]]+$E$77</f>
        <v>41</v>
      </c>
      <c r="F84" s="738">
        <f>F78+F83</f>
        <v>21</v>
      </c>
      <c r="G84" s="738" t="s">
        <v>1075</v>
      </c>
      <c r="H84" s="15">
        <f>Цены[[#This Row],[О_2]]+$H$77</f>
        <v>41</v>
      </c>
      <c r="I84" s="738">
        <f>Цены[[#This Row],[О_2]]</f>
        <v>21</v>
      </c>
      <c r="J84" s="119">
        <f>Цены[[#This Row],[М_2]]</f>
        <v>21</v>
      </c>
      <c r="K84" s="165">
        <f>$K$77+Цены[[#This Row],[М_3]]</f>
        <v>53</v>
      </c>
      <c r="L84" s="75"/>
      <c r="M84" s="75">
        <f t="shared" si="10"/>
        <v>82</v>
      </c>
      <c r="N84" s="611" t="s">
        <v>1080</v>
      </c>
      <c r="O84" s="583" t="str">
        <f t="shared" si="44"/>
        <v/>
      </c>
      <c r="P84" s="583" t="str">
        <f t="shared" si="50"/>
        <v/>
      </c>
      <c r="Q84" s="617" t="str">
        <f t="shared" si="51"/>
        <v/>
      </c>
      <c r="S84" s="32">
        <f>Цена!A84</f>
        <v>82</v>
      </c>
      <c r="T84" s="144" t="s">
        <v>435</v>
      </c>
      <c r="U84" s="97" t="str">
        <f>IF(AND(Бланк!M2="Индивид.",Бланк!M11=""),"",IF(Бланк!$H$11=T84,IF(OR(Бланк!$O$7="Кале 152",Бланк!$O$7="Kale 155 рол.",Бланк!$O$7="Kale155-В рол."),$V$1,HLOOKUP(Бланк!$M$2,Цены[#All],S84,0)),""))</f>
        <v/>
      </c>
      <c r="V84" s="32">
        <f t="shared" si="43"/>
        <v>82</v>
      </c>
      <c r="W84" s="10" t="str">
        <f t="shared" si="8"/>
        <v>_16_влаго</v>
      </c>
      <c r="X84" s="97" t="str">
        <f>IF(Бланк!$H$27=W84,IF(OR(Бланк!$O$23="Кале 152",Бланк!$O$23="Kale 155 рол.",Бланк!$O$23="Kale155-В рол."),$V$1,HLOOKUP(Бланк!$M$18,Цены[#All],V84,0)),"")</f>
        <v/>
      </c>
      <c r="Z84" s="32">
        <f t="shared" si="52"/>
        <v>82</v>
      </c>
      <c r="AA84" s="10" t="str">
        <f t="shared" si="7"/>
        <v>_16_влаго</v>
      </c>
      <c r="AB84" s="97" t="str">
        <f>IF(Бланк!$H$43=AA84,IF(OR(Бланк!$O$39="Кале 152",Бланк!$L$34="Kale 155 рол.",Бланк!$L$34="Kale155-В рол."),$Z$1,HLOOKUP(Бланк!$M$34,Цены[#All],Z84,0)),"")</f>
        <v/>
      </c>
    </row>
    <row r="85" spans="1:28" ht="15.75">
      <c r="A85" s="39">
        <f t="shared" si="5"/>
        <v>83</v>
      </c>
      <c r="B85" s="117" t="s">
        <v>482</v>
      </c>
      <c r="C85" s="9" t="s">
        <v>308</v>
      </c>
      <c r="D85" s="738" t="s">
        <v>1075</v>
      </c>
      <c r="E85" s="604">
        <f>Цены[[#This Row],[О_2]]+$E$77</f>
        <v>38</v>
      </c>
      <c r="F85" s="738">
        <v>18</v>
      </c>
      <c r="G85" s="738" t="s">
        <v>1075</v>
      </c>
      <c r="H85" s="15">
        <f>Цены[[#This Row],[О_2]]+$H$77</f>
        <v>38</v>
      </c>
      <c r="I85" s="738">
        <f>Цены[[#This Row],[О_2]]</f>
        <v>18</v>
      </c>
      <c r="J85" s="119">
        <f>Цены[[#This Row],[М_2]]</f>
        <v>18</v>
      </c>
      <c r="K85" s="165">
        <f>Цены[[#This Row],[М_3]]</f>
        <v>18</v>
      </c>
      <c r="L85" s="75"/>
      <c r="M85" s="75">
        <f t="shared" si="10"/>
        <v>83</v>
      </c>
      <c r="N85" s="611" t="s">
        <v>1080</v>
      </c>
      <c r="O85" s="583" t="str">
        <f t="shared" si="44"/>
        <v/>
      </c>
      <c r="P85" s="583" t="str">
        <f t="shared" si="50"/>
        <v/>
      </c>
      <c r="Q85" s="617" t="str">
        <f t="shared" si="51"/>
        <v/>
      </c>
      <c r="S85" s="32">
        <f>Цена!A85</f>
        <v>83</v>
      </c>
      <c r="T85" s="62" t="str">
        <f>Цена!C85</f>
        <v>комби.</v>
      </c>
      <c r="U85" s="97" t="str">
        <f>IF(AND(Бланк!M2="Индивид.",Бланк!M11=""),"",IF(AND(Бланк!$M$11=T85,OR(Бланк!$H$11="_8мм",Бланк!$H$11="_10мм",Бланк!$H$11="_12мм",Бланк!$H$11="_8_влаго",Бланк!$H$11="_10_влаго",Бланк!$H$11="_12_влаго")),HLOOKUP(Бланк!$M$2,Цены[#All],S85,0),""))</f>
        <v/>
      </c>
      <c r="V85" s="32">
        <f t="shared" si="43"/>
        <v>83</v>
      </c>
      <c r="W85" s="10" t="str">
        <f t="shared" si="8"/>
        <v>комби.</v>
      </c>
      <c r="X85" s="97" t="str">
        <f>IF(AND(Бланк!$M$27=W85,OR(Бланк!$H$27="_8мм",Бланк!$H$27="_10мм",Бланк!$H$27="_12мм",Бланк!$H$27="_8_влаго",Бланк!$H$27="_10_влаго",Бланк!$H$27="_12_влаго")),HLOOKUP(Бланк!$M$18,Цены[#All],V85,0),"")</f>
        <v/>
      </c>
      <c r="Z85" s="32">
        <f t="shared" si="52"/>
        <v>83</v>
      </c>
      <c r="AA85" s="10" t="str">
        <f t="shared" si="7"/>
        <v>комби.</v>
      </c>
      <c r="AB85" s="97" t="str">
        <f>IF(AND(Бланк!$M$43=AA85,OR(Бланк!$H$43="_8мм",Бланк!$H$43="_10мм",Бланк!$H$43="_12мм",Бланк!$H$43="_8_влаго",Бланк!$H$43="_10_влаго",Бланк!$H$43="_12_влаго")),HLOOKUP(Бланк!$M$34,Цены[#All],Z85,0),"")</f>
        <v/>
      </c>
    </row>
    <row r="86" spans="1:28" ht="15.75">
      <c r="A86" s="39">
        <f t="shared" si="5"/>
        <v>84</v>
      </c>
      <c r="B86" s="117" t="s">
        <v>463</v>
      </c>
      <c r="C86" s="9" t="s">
        <v>308</v>
      </c>
      <c r="D86" s="738" t="s">
        <v>1075</v>
      </c>
      <c r="E86" s="604">
        <f>Цены[[#This Row],[О_2]]+$E$77</f>
        <v>48</v>
      </c>
      <c r="F86" s="738">
        <f>36-F83</f>
        <v>28</v>
      </c>
      <c r="G86" s="738" t="s">
        <v>1075</v>
      </c>
      <c r="H86" s="15">
        <f>Цены[[#This Row],[О_2]]+$H$77</f>
        <v>48</v>
      </c>
      <c r="I86" s="738">
        <f>Цены[[#This Row],[О_2]]</f>
        <v>28</v>
      </c>
      <c r="J86" s="119">
        <f>Цены[[#This Row],[М_2]]</f>
        <v>28</v>
      </c>
      <c r="K86" s="165">
        <f>Цены[[#This Row],[М_3]]</f>
        <v>28</v>
      </c>
      <c r="L86" s="75"/>
      <c r="M86" s="75">
        <f t="shared" si="10"/>
        <v>84</v>
      </c>
      <c r="N86" s="611" t="s">
        <v>1080</v>
      </c>
      <c r="O86" s="583" t="str">
        <f t="shared" si="44"/>
        <v/>
      </c>
      <c r="P86" s="583" t="str">
        <f t="shared" si="50"/>
        <v/>
      </c>
      <c r="Q86" s="617" t="str">
        <f t="shared" si="51"/>
        <v/>
      </c>
      <c r="S86" s="32">
        <f>Цена!A86</f>
        <v>84</v>
      </c>
      <c r="T86" s="62" t="str">
        <f>Цена!C86</f>
        <v>комби.</v>
      </c>
      <c r="U86" s="97" t="str">
        <f>IF(AND(Бланк!M2="Индивид.",Бланк!M11=""),"",IF(AND(Бланк!$M$11=T86,OR(Бланк!$H$11="_16мм",Бланк!$H$11="_16_влаго")),HLOOKUP(Бланк!$M$2,Цены[#All],S86,0),""))</f>
        <v/>
      </c>
      <c r="V86" s="32">
        <f t="shared" si="43"/>
        <v>84</v>
      </c>
      <c r="W86" s="10" t="str">
        <f t="shared" si="8"/>
        <v>комби.</v>
      </c>
      <c r="X86" s="97" t="str">
        <f>IF(AND(Бланк!$M$27=W86,OR(Бланк!$H$27="_16мм",Бланк!$H$27="_16_влаго")),HLOOKUP(Бланк!$M$18,Цены[#All],V86,0),"")</f>
        <v/>
      </c>
      <c r="Z86" s="32">
        <f t="shared" si="52"/>
        <v>84</v>
      </c>
      <c r="AA86" s="10" t="str">
        <f t="shared" si="7"/>
        <v>комби.</v>
      </c>
      <c r="AB86" s="97" t="str">
        <f>IF(AND(Бланк!$M$43=AA86,OR(Бланк!$H$43="_16мм",Бланк!$H$43="_16_влаго")),HLOOKUP(Бланк!$M$34,Цены[#All],Z86,0),"")</f>
        <v/>
      </c>
    </row>
    <row r="87" spans="1:28" s="39" customFormat="1" ht="15.75">
      <c r="A87" s="39">
        <f t="shared" si="5"/>
        <v>85</v>
      </c>
      <c r="B87" s="117"/>
      <c r="C87" s="9" t="s">
        <v>617</v>
      </c>
      <c r="D87" s="738" t="s">
        <v>1075</v>
      </c>
      <c r="E87" s="604">
        <f>Цены[[#This Row],[О_2]]+$E$77</f>
        <v>48</v>
      </c>
      <c r="F87" s="738">
        <f>F86</f>
        <v>28</v>
      </c>
      <c r="G87" s="738" t="s">
        <v>1075</v>
      </c>
      <c r="H87" s="15">
        <f>Цены[[#This Row],[О_2]]+$H$77</f>
        <v>48</v>
      </c>
      <c r="I87" s="738">
        <f>Цены[[#This Row],[О_2]]</f>
        <v>28</v>
      </c>
      <c r="J87" s="119">
        <f>Цены[[#This Row],[М_2]]</f>
        <v>28</v>
      </c>
      <c r="K87" s="165">
        <f>Цены[[#This Row],[М_3]]</f>
        <v>28</v>
      </c>
      <c r="L87" s="75"/>
      <c r="M87" s="75">
        <f t="shared" si="10"/>
        <v>85</v>
      </c>
      <c r="N87" s="611" t="s">
        <v>1080</v>
      </c>
      <c r="O87" s="583" t="str">
        <f t="shared" si="44"/>
        <v/>
      </c>
      <c r="P87" s="583" t="str">
        <f t="shared" si="50"/>
        <v/>
      </c>
      <c r="Q87" s="617" t="str">
        <f t="shared" si="51"/>
        <v/>
      </c>
      <c r="S87" s="32">
        <f>Цена!A87</f>
        <v>85</v>
      </c>
      <c r="T87" s="62" t="str">
        <f>Цена!C87</f>
        <v>_3_Д</v>
      </c>
      <c r="U87" s="97" t="str">
        <f>IF(AND(Бланк!$M$11=T87,Бланк!P11="Фристайл-К"),27,IF(Бланк!$M$11=T87,HLOOKUP(Бланк!$M$2,Цены[#All],S87,0),""))</f>
        <v/>
      </c>
      <c r="V87" s="32">
        <f t="shared" si="43"/>
        <v>85</v>
      </c>
      <c r="W87" s="10" t="str">
        <f t="shared" si="8"/>
        <v>_3_Д</v>
      </c>
      <c r="X87" s="97" t="str">
        <f>IF(AND(Бланк!$M$27=W87,Бланк!P27="Фристайл-К"),27,IF(Бланк!$M$27=W87,HLOOKUP(Бланк!$M$18,Цены[#All],V87,0),""))</f>
        <v/>
      </c>
      <c r="Z87" s="32">
        <f t="shared" si="52"/>
        <v>85</v>
      </c>
      <c r="AA87" s="10" t="str">
        <f t="shared" si="7"/>
        <v>_3_Д</v>
      </c>
      <c r="AB87" s="97" t="str">
        <f>IF(AND(Бланк!$M$43=AA87,Бланк!P43="Фристайл-К"),27,IF(Бланк!$M$43=AA87,HLOOKUP(Бланк!$M$34,Цены[#All],Z87,0),""))</f>
        <v/>
      </c>
    </row>
    <row r="88" spans="1:28" ht="15.75">
      <c r="A88" s="39">
        <f t="shared" si="5"/>
        <v>86</v>
      </c>
      <c r="B88" s="117"/>
      <c r="C88" s="9" t="str">
        <f>C71</f>
        <v>Зеркало_под_МДФ</v>
      </c>
      <c r="D88" s="738" t="s">
        <v>1075</v>
      </c>
      <c r="E88" s="749">
        <v>40</v>
      </c>
      <c r="F88" s="738">
        <f>Цены[[#This Row],[О_1]]</f>
        <v>40</v>
      </c>
      <c r="G88" s="738" t="s">
        <v>1075</v>
      </c>
      <c r="H88" s="15">
        <f>Цены[[#This Row],[О_1]]</f>
        <v>40</v>
      </c>
      <c r="I88" s="738">
        <f>Цены[[#This Row],[О_2]]</f>
        <v>40</v>
      </c>
      <c r="J88" s="119">
        <f>Цены[[#This Row],[М_2]]</f>
        <v>40</v>
      </c>
      <c r="K88" s="165">
        <f>Цены[[#This Row],[М_3]]</f>
        <v>40</v>
      </c>
      <c r="L88" s="75"/>
      <c r="M88" s="75">
        <f t="shared" si="10"/>
        <v>86</v>
      </c>
      <c r="N88" s="611" t="s">
        <v>1080</v>
      </c>
      <c r="O88" s="583" t="str">
        <f t="shared" si="44"/>
        <v/>
      </c>
      <c r="P88" s="583" t="str">
        <f t="shared" si="50"/>
        <v/>
      </c>
      <c r="Q88" s="617" t="str">
        <f t="shared" si="51"/>
        <v/>
      </c>
      <c r="S88" s="32">
        <f>Цена!A88</f>
        <v>86</v>
      </c>
      <c r="T88" s="62" t="str">
        <f>Цена!C88</f>
        <v>Зеркало_под_МДФ</v>
      </c>
      <c r="U88" s="97" t="str">
        <f>IF(Бланк!$M$11=T88,HLOOKUP(Бланк!$M$2,Цены[#All],S88,0),"")</f>
        <v/>
      </c>
      <c r="V88" s="32">
        <f t="shared" si="43"/>
        <v>86</v>
      </c>
      <c r="W88" s="10" t="str">
        <f t="shared" si="8"/>
        <v>Зеркало_под_МДФ</v>
      </c>
      <c r="X88" s="97" t="str">
        <f>IF(Бланк!$M$27=W88,HLOOKUP(Бланк!$M$18,Цены[#All],V88,0),"")</f>
        <v/>
      </c>
      <c r="Z88" s="32">
        <f t="shared" si="52"/>
        <v>86</v>
      </c>
      <c r="AA88" s="10" t="str">
        <f t="shared" si="7"/>
        <v>Зеркало_под_МДФ</v>
      </c>
      <c r="AB88" s="97" t="str">
        <f>IF(Бланк!$M$43=AA88,HLOOKUP(Бланк!$M$34,Цены[#All],Z88,0),"")</f>
        <v/>
      </c>
    </row>
    <row r="89" spans="1:28" s="39" customFormat="1" ht="15.75">
      <c r="A89" s="39">
        <f t="shared" si="5"/>
        <v>87</v>
      </c>
      <c r="B89" s="117"/>
      <c r="C89" s="9" t="str">
        <f>C72</f>
        <v>зеркало_на_МДФ</v>
      </c>
      <c r="D89" s="738" t="s">
        <v>1075</v>
      </c>
      <c r="E89" s="749">
        <v>55</v>
      </c>
      <c r="F89" s="738">
        <f>Цены[[#This Row],[О_1]]</f>
        <v>55</v>
      </c>
      <c r="G89" s="738" t="s">
        <v>1075</v>
      </c>
      <c r="H89" s="15">
        <f>Цены[[#This Row],[О_1]]</f>
        <v>55</v>
      </c>
      <c r="I89" s="738">
        <f>Цены[[#This Row],[О_2]]</f>
        <v>55</v>
      </c>
      <c r="J89" s="119">
        <f>Цены[[#This Row],[М_2]]</f>
        <v>55</v>
      </c>
      <c r="K89" s="165">
        <f>Цены[[#This Row],[М_3]]</f>
        <v>55</v>
      </c>
      <c r="L89" s="75"/>
      <c r="M89" s="75">
        <f t="shared" si="10"/>
        <v>87</v>
      </c>
      <c r="N89" s="611" t="s">
        <v>1182</v>
      </c>
      <c r="O89" s="583" t="str">
        <f>IF(OR(AND(Бланк!M11=Цены[[#This Row],[Параметр]],OR(Бланк!H11=C77,Бланк!H11=C78)),U89=$V$1),"Ошибка-1","")</f>
        <v/>
      </c>
      <c r="P89" s="583" t="str">
        <f>IF(OR(AND(Бланк!M27=Цены[[#This Row],[Параметр]],OR(Бланк!H27=C77,Бланк!H27=C78)),X89=$V$1),"Ошибка-2","")</f>
        <v/>
      </c>
      <c r="Q89" s="617" t="str">
        <f>IF(OR(AND(Бланк!L43=Цены[[#This Row],[Параметр]],OR(Бланк!H43=C77,Бланк!H43=C78)),AB89=$V$1),"Ошибка-3","")</f>
        <v/>
      </c>
      <c r="S89" s="99">
        <f>Цена!A89</f>
        <v>87</v>
      </c>
      <c r="T89" s="62" t="str">
        <f>Цена!C89</f>
        <v>зеркало_на_МДФ</v>
      </c>
      <c r="U89" s="97" t="str">
        <f>IF(Бланк!$M$11=T89,HLOOKUP(Бланк!$M$2,Цены[#All],S89,0),"")</f>
        <v/>
      </c>
      <c r="V89" s="32">
        <f t="shared" si="43"/>
        <v>87</v>
      </c>
      <c r="W89" s="10" t="str">
        <f>T89</f>
        <v>зеркало_на_МДФ</v>
      </c>
      <c r="X89" s="97" t="str">
        <f>IF(Бланк!$M$27=W89,HLOOKUP(Бланк!$M$18,Цены[#All],V89,0),"")</f>
        <v/>
      </c>
      <c r="Z89" s="32">
        <f t="shared" ref="Z89:AA92" si="53">S89</f>
        <v>87</v>
      </c>
      <c r="AA89" s="10" t="str">
        <f t="shared" si="53"/>
        <v>зеркало_на_МДФ</v>
      </c>
      <c r="AB89" s="97" t="str">
        <f>IF(Бланк!$M$43=AA89,HLOOKUP(Бланк!$M$34,Цены[#All],Z89,0),"")</f>
        <v/>
      </c>
    </row>
    <row r="90" spans="1:28" s="39" customFormat="1" ht="15.75">
      <c r="A90" s="39">
        <f t="shared" si="5"/>
        <v>88</v>
      </c>
      <c r="B90" s="117"/>
      <c r="C90" s="9" t="s">
        <v>891</v>
      </c>
      <c r="D90" s="738" t="s">
        <v>1075</v>
      </c>
      <c r="E90" s="165" t="s">
        <v>1075</v>
      </c>
      <c r="F90" s="738"/>
      <c r="G90" s="738" t="s">
        <v>1075</v>
      </c>
      <c r="H90" s="15">
        <f>Цены[[#This Row],[О_2]]</f>
        <v>0</v>
      </c>
      <c r="I90" s="738">
        <f>Цены[[#This Row],[М_1]]</f>
        <v>0</v>
      </c>
      <c r="J90" s="119">
        <f>Цены[[#This Row],[М_2]]</f>
        <v>0</v>
      </c>
      <c r="K90" s="165"/>
      <c r="L90" s="583"/>
      <c r="M90" s="75">
        <f t="shared" ref="M90:M153" si="54">A90</f>
        <v>88</v>
      </c>
      <c r="N90" s="611" t="s">
        <v>1080</v>
      </c>
      <c r="O90" s="583" t="str">
        <f t="shared" si="44"/>
        <v/>
      </c>
      <c r="P90" s="583" t="str">
        <f t="shared" si="50"/>
        <v/>
      </c>
      <c r="Q90" s="617" t="str">
        <f t="shared" si="51"/>
        <v/>
      </c>
      <c r="S90" s="99">
        <f>Цена!A90</f>
        <v>88</v>
      </c>
      <c r="T90" s="62" t="str">
        <f>Цена!C90</f>
        <v>МДФ_без_молд</v>
      </c>
      <c r="U90" s="97" t="str">
        <f>IF(AND(Бланк!$F$11=T90,Бланк!$S$2=T22),V1,IF(Бланк!$F$11=T90,HLOOKUP(Бланк!$M$2,Цены[#All],S90,0),""))</f>
        <v/>
      </c>
      <c r="V90" s="32">
        <f t="shared" si="43"/>
        <v>88</v>
      </c>
      <c r="W90" s="10" t="str">
        <f>T90</f>
        <v>МДФ_без_молд</v>
      </c>
      <c r="X90" s="97" t="str">
        <f>IF(AND(Бланк!$F$27=T90,Бланк!$S$18=T22),$V$1,IF(Бланк!$G$27=W90,HLOOKUP(Бланк!$M$18,Цены[#All],V90,0),""))</f>
        <v/>
      </c>
      <c r="Z90" s="32">
        <f>S90</f>
        <v>88</v>
      </c>
      <c r="AA90" s="10" t="str">
        <f>T90</f>
        <v>МДФ_без_молд</v>
      </c>
      <c r="AB90" s="97" t="str">
        <f>IF(AND(Бланк!$F$43=T90,Бланк!$S$34=T22),$V$1,IF(Бланк!$G$43=AA90,HLOOKUP(Бланк!$M$34,Цены[#All],Z90,0),""))</f>
        <v/>
      </c>
    </row>
    <row r="91" spans="1:28" s="39" customFormat="1" ht="15.75">
      <c r="A91" s="39">
        <f t="shared" si="5"/>
        <v>89</v>
      </c>
      <c r="B91" s="117"/>
      <c r="C91" s="9" t="s">
        <v>431</v>
      </c>
      <c r="D91" s="738" t="s">
        <v>1075</v>
      </c>
      <c r="E91" s="165">
        <v>-15</v>
      </c>
      <c r="F91" s="738">
        <f>Цены[[#This Row],[О_1]]</f>
        <v>-15</v>
      </c>
      <c r="G91" s="738" t="s">
        <v>1075</v>
      </c>
      <c r="H91" s="15">
        <f>Цены[[#This Row],[О_2]]</f>
        <v>-15</v>
      </c>
      <c r="I91" s="738">
        <f>Цены[[#This Row],[М_1]]</f>
        <v>-15</v>
      </c>
      <c r="J91" s="119">
        <f>Цены[[#This Row],[М_2]]</f>
        <v>-15</v>
      </c>
      <c r="K91" s="165" t="e">
        <f>1/0</f>
        <v>#DIV/0!</v>
      </c>
      <c r="L91" s="75"/>
      <c r="M91" s="75">
        <f t="shared" si="54"/>
        <v>89</v>
      </c>
      <c r="N91" s="611" t="s">
        <v>1080</v>
      </c>
      <c r="O91" s="583" t="str">
        <f t="shared" si="44"/>
        <v/>
      </c>
      <c r="P91" s="583" t="str">
        <f t="shared" si="50"/>
        <v/>
      </c>
      <c r="Q91" s="617" t="str">
        <f t="shared" si="51"/>
        <v/>
      </c>
      <c r="S91" s="99">
        <f>Цена!A91</f>
        <v>89</v>
      </c>
      <c r="T91" s="62" t="str">
        <f>Цена!C91</f>
        <v>Заказчика</v>
      </c>
      <c r="U91" s="97" t="str">
        <f>IF(Бланк!$I$11=T91,HLOOKUP(Бланк!$M$2,Цены[#All],S91,0),"")</f>
        <v/>
      </c>
      <c r="V91" s="32">
        <f t="shared" si="43"/>
        <v>89</v>
      </c>
      <c r="W91" s="10" t="str">
        <f>T91</f>
        <v>Заказчика</v>
      </c>
      <c r="X91" s="97" t="str">
        <f>IF(Бланк!$I$27=W91,HLOOKUP(Бланк!$M$18,Цены[#All],V91,0),"")</f>
        <v/>
      </c>
      <c r="Z91" s="32">
        <f t="shared" si="53"/>
        <v>89</v>
      </c>
      <c r="AA91" s="10" t="str">
        <f t="shared" si="53"/>
        <v>Заказчика</v>
      </c>
      <c r="AB91" s="97" t="str">
        <f>IF(Бланк!$I$43=AA91,HLOOKUP(Бланк!$M$34,Цены[#All],Z91,0),"")</f>
        <v/>
      </c>
    </row>
    <row r="92" spans="1:28" s="39" customFormat="1" ht="15.75">
      <c r="A92" s="39">
        <f t="shared" si="5"/>
        <v>90</v>
      </c>
      <c r="B92" s="374" t="s">
        <v>679</v>
      </c>
      <c r="C92" s="373" t="s">
        <v>781</v>
      </c>
      <c r="D92" s="738" t="s">
        <v>1075</v>
      </c>
      <c r="E92" s="165" t="s">
        <v>1075</v>
      </c>
      <c r="F92" s="738">
        <f>F74</f>
        <v>170</v>
      </c>
      <c r="G92" s="738" t="s">
        <v>1075</v>
      </c>
      <c r="H92" s="15" t="s">
        <v>1075</v>
      </c>
      <c r="I92" s="738">
        <f>Цены[[#This Row],[О_2]]</f>
        <v>170</v>
      </c>
      <c r="J92" s="119">
        <f>J74</f>
        <v>170</v>
      </c>
      <c r="K92" s="165">
        <f>K74</f>
        <v>208</v>
      </c>
      <c r="L92" s="75"/>
      <c r="M92" s="75">
        <f t="shared" si="54"/>
        <v>90</v>
      </c>
      <c r="N92" s="612" t="s">
        <v>679</v>
      </c>
      <c r="O92" s="583" t="str">
        <f t="shared" si="44"/>
        <v/>
      </c>
      <c r="P92" s="583" t="str">
        <f t="shared" si="50"/>
        <v/>
      </c>
      <c r="Q92" s="617" t="str">
        <f t="shared" si="51"/>
        <v/>
      </c>
      <c r="S92" s="99">
        <f>Цена!A92</f>
        <v>90</v>
      </c>
      <c r="T92" s="62" t="str">
        <f>Цена!C92</f>
        <v>Матовая</v>
      </c>
      <c r="U92" s="97" t="str">
        <f>IF(Бланк!$F$12=T92,HLOOKUP(Бланк!$M$2,Цены[#All],S92,0),"")</f>
        <v/>
      </c>
      <c r="V92" s="32">
        <f t="shared" si="43"/>
        <v>90</v>
      </c>
      <c r="W92" s="10" t="str">
        <f>T92</f>
        <v>Матовая</v>
      </c>
      <c r="X92" s="97" t="str">
        <f>IF(Бланк!$F$28=W92,HLOOKUP(Бланк!$M$18,Цены[#All],V92,0),"")</f>
        <v/>
      </c>
      <c r="Z92" s="32">
        <f t="shared" si="53"/>
        <v>90</v>
      </c>
      <c r="AA92" s="10" t="str">
        <f t="shared" si="53"/>
        <v>Матовая</v>
      </c>
      <c r="AB92" s="97" t="str">
        <f>IF(Бланк!$F$44=AA92,HLOOKUP(Бланк!$M$34,Цены[#All],Z92,0),"")</f>
        <v/>
      </c>
    </row>
    <row r="93" spans="1:28" s="39" customFormat="1" ht="15.75">
      <c r="A93" s="39">
        <f t="shared" si="5"/>
        <v>91</v>
      </c>
      <c r="B93" s="117"/>
      <c r="C93" s="373" t="s">
        <v>782</v>
      </c>
      <c r="D93" s="738" t="s">
        <v>1075</v>
      </c>
      <c r="E93" s="165" t="s">
        <v>1075</v>
      </c>
      <c r="F93" s="738">
        <f>F75</f>
        <v>180</v>
      </c>
      <c r="G93" s="738" t="s">
        <v>1075</v>
      </c>
      <c r="H93" s="15" t="s">
        <v>1075</v>
      </c>
      <c r="I93" s="738">
        <f>Цены[[#This Row],[О_2]]</f>
        <v>180</v>
      </c>
      <c r="J93" s="119">
        <f>J75</f>
        <v>180</v>
      </c>
      <c r="K93" s="165">
        <f>K92+10</f>
        <v>218</v>
      </c>
      <c r="L93" s="75"/>
      <c r="M93" s="75">
        <f t="shared" si="54"/>
        <v>91</v>
      </c>
      <c r="N93" s="612" t="s">
        <v>679</v>
      </c>
      <c r="O93" s="583" t="str">
        <f t="shared" si="44"/>
        <v/>
      </c>
      <c r="P93" s="583" t="str">
        <f t="shared" si="50"/>
        <v/>
      </c>
      <c r="Q93" s="617" t="str">
        <f t="shared" si="51"/>
        <v/>
      </c>
      <c r="S93" s="99">
        <f>Цена!A93</f>
        <v>91</v>
      </c>
      <c r="T93" s="62" t="str">
        <f>Цена!C93</f>
        <v>Глянцевая</v>
      </c>
      <c r="U93" s="97" t="str">
        <f>IF(Бланк!$F$12=T93,HLOOKUP(Бланк!$M$2,Цены[#All],S93,0),"")</f>
        <v/>
      </c>
      <c r="V93" s="32">
        <f t="shared" si="43"/>
        <v>91</v>
      </c>
      <c r="W93" s="10" t="str">
        <f>T93</f>
        <v>Глянцевая</v>
      </c>
      <c r="X93" s="97" t="str">
        <f>IF(Бланк!$F$28=W93,HLOOKUP(Бланк!$M$18,Цены[#All],V93,0),"")</f>
        <v/>
      </c>
      <c r="Z93" s="32">
        <f>S93</f>
        <v>91</v>
      </c>
      <c r="AA93" s="10" t="str">
        <f>T93</f>
        <v>Глянцевая</v>
      </c>
      <c r="AB93" s="97" t="str">
        <f>IF(Бланк!$F$44=AA93,HLOOKUP(Бланк!$M$34,Цены[#All],Z93,0),"")</f>
        <v/>
      </c>
    </row>
    <row r="94" spans="1:28" s="44" customFormat="1" ht="15.75">
      <c r="A94" s="39">
        <f t="shared" si="5"/>
        <v>92</v>
      </c>
      <c r="B94" s="762" t="s">
        <v>1012</v>
      </c>
      <c r="C94" s="419"/>
      <c r="D94" s="300"/>
      <c r="E94" s="421"/>
      <c r="F94" s="300"/>
      <c r="G94" s="300"/>
      <c r="H94" s="380"/>
      <c r="I94" s="300"/>
      <c r="J94" s="420"/>
      <c r="K94" s="421"/>
      <c r="L94" s="586"/>
      <c r="M94" s="75">
        <f t="shared" si="54"/>
        <v>92</v>
      </c>
      <c r="N94" s="596" t="str">
        <f>Цены[[#This Row],[Столбец1]]</f>
        <v>Увеличение ст-ти по высоте внутреннего щита (Материалы, табл.19)</v>
      </c>
      <c r="O94" s="583" t="str">
        <f t="shared" si="44"/>
        <v/>
      </c>
      <c r="P94" s="583" t="str">
        <f t="shared" si="50"/>
        <v/>
      </c>
      <c r="Q94" s="617" t="str">
        <f t="shared" si="51"/>
        <v/>
      </c>
      <c r="S94" s="534">
        <f>Цена!A94</f>
        <v>92</v>
      </c>
      <c r="T94" s="523"/>
      <c r="U94" s="423">
        <f>материалы!U79</f>
        <v>0</v>
      </c>
      <c r="V94" s="535">
        <f t="shared" si="43"/>
        <v>92</v>
      </c>
      <c r="W94" s="523"/>
      <c r="X94" s="423">
        <f>материалы!W79</f>
        <v>0</v>
      </c>
      <c r="Z94" s="535">
        <f t="shared" ref="Z94:Z115" si="55">S94</f>
        <v>92</v>
      </c>
      <c r="AA94" s="523"/>
      <c r="AB94" s="423">
        <f>материалы!Y79</f>
        <v>0</v>
      </c>
    </row>
    <row r="95" spans="1:28" s="44" customFormat="1" ht="15.75">
      <c r="A95" s="39">
        <f t="shared" si="5"/>
        <v>93</v>
      </c>
      <c r="B95" s="761" t="s">
        <v>921</v>
      </c>
      <c r="C95" s="419"/>
      <c r="D95" s="300"/>
      <c r="E95" s="421"/>
      <c r="F95" s="300"/>
      <c r="G95" s="300"/>
      <c r="H95" s="380"/>
      <c r="I95" s="300"/>
      <c r="J95" s="420"/>
      <c r="K95" s="421"/>
      <c r="L95" s="586"/>
      <c r="M95" s="75">
        <f t="shared" si="54"/>
        <v>93</v>
      </c>
      <c r="N95" s="596" t="s">
        <v>1081</v>
      </c>
      <c r="O95" s="583" t="str">
        <f t="shared" si="44"/>
        <v/>
      </c>
      <c r="P95" s="583" t="str">
        <f t="shared" si="50"/>
        <v/>
      </c>
      <c r="Q95" s="617" t="str">
        <f t="shared" si="51"/>
        <v/>
      </c>
      <c r="S95" s="99">
        <f>Цена!A95</f>
        <v>93</v>
      </c>
      <c r="T95" s="422"/>
      <c r="U95" s="423">
        <f>'Отделка, таб.'!D24</f>
        <v>0</v>
      </c>
      <c r="V95" s="32">
        <f t="shared" si="43"/>
        <v>93</v>
      </c>
      <c r="W95" s="422"/>
      <c r="X95" s="423">
        <f>'Отделка, таб.'!F24</f>
        <v>0</v>
      </c>
      <c r="Z95" s="32">
        <f t="shared" si="55"/>
        <v>93</v>
      </c>
      <c r="AA95" s="422"/>
      <c r="AB95" s="423">
        <f>'Отделка, таб.'!H24</f>
        <v>0</v>
      </c>
    </row>
    <row r="96" spans="1:28" ht="15.75">
      <c r="A96" s="39">
        <f t="shared" si="5"/>
        <v>94</v>
      </c>
      <c r="B96" s="117" t="s">
        <v>67</v>
      </c>
      <c r="C96" s="9" t="str">
        <f>Профдекор[[#Headers],[ПВХ_Стандарт]]</f>
        <v>ПВХ_Стандарт</v>
      </c>
      <c r="D96" s="738">
        <v>0</v>
      </c>
      <c r="E96" s="421">
        <v>0</v>
      </c>
      <c r="F96" s="487">
        <v>0</v>
      </c>
      <c r="G96" s="738">
        <v>0</v>
      </c>
      <c r="H96" s="15">
        <f>Цены[[#This Row],[О_1]]</f>
        <v>0</v>
      </c>
      <c r="I96" s="738">
        <f>Цены[[#This Row],[О_1]]</f>
        <v>0</v>
      </c>
      <c r="J96" s="119">
        <f>Цены[[#This Row],[О_2]]</f>
        <v>0</v>
      </c>
      <c r="K96" s="165">
        <f>Цены[[#This Row],[М_3]]</f>
        <v>0</v>
      </c>
      <c r="L96" s="75"/>
      <c r="M96" s="75">
        <f t="shared" si="54"/>
        <v>94</v>
      </c>
      <c r="N96" s="594" t="s">
        <v>1082</v>
      </c>
      <c r="O96" s="583" t="str">
        <f t="shared" si="44"/>
        <v/>
      </c>
      <c r="P96" s="583" t="str">
        <f t="shared" si="50"/>
        <v/>
      </c>
      <c r="Q96" s="617" t="str">
        <f t="shared" si="51"/>
        <v/>
      </c>
      <c r="S96" s="99">
        <f>Цена!A96</f>
        <v>94</v>
      </c>
      <c r="T96" s="62" t="str">
        <f>Цена!C96</f>
        <v>ПВХ_Стандарт</v>
      </c>
      <c r="U96" s="97">
        <f>IF(AND(Бланк!F10=T96,U97=0),"",HLOOKUP(Бланк!$M$2,Цены[#All],S96,0))</f>
        <v>0</v>
      </c>
      <c r="V96" s="32">
        <f t="shared" si="43"/>
        <v>94</v>
      </c>
      <c r="W96" s="10" t="str">
        <f t="shared" si="8"/>
        <v>ПВХ_Стандарт</v>
      </c>
      <c r="X96" s="97" t="str">
        <f>IF(Бланк!D26="_плёнка",HLOOKUP(Бланк!$M$18,Цены[#All],V96,0),"")</f>
        <v/>
      </c>
      <c r="Z96" s="32">
        <f t="shared" si="55"/>
        <v>94</v>
      </c>
      <c r="AA96" s="10" t="str">
        <f t="shared" si="7"/>
        <v>ПВХ_Стандарт</v>
      </c>
      <c r="AB96" s="97" t="str">
        <f>IF(Бланк!$G$42=AA96,HLOOKUP(Бланк!$M$34,Цены[#All],Z96,0),"")</f>
        <v/>
      </c>
    </row>
    <row r="97" spans="1:28" ht="15.75">
      <c r="A97" s="39">
        <f t="shared" si="5"/>
        <v>95</v>
      </c>
      <c r="B97" s="117" t="s">
        <v>313</v>
      </c>
      <c r="C97" s="9" t="s">
        <v>1260</v>
      </c>
      <c r="D97" s="738"/>
      <c r="E97" s="421"/>
      <c r="F97" s="738"/>
      <c r="G97" s="738"/>
      <c r="H97" s="15"/>
      <c r="I97" s="738"/>
      <c r="J97" s="119"/>
      <c r="K97" s="165"/>
      <c r="L97" s="75"/>
      <c r="M97" s="75">
        <f t="shared" si="54"/>
        <v>95</v>
      </c>
      <c r="N97" s="594" t="s">
        <v>1082</v>
      </c>
      <c r="O97" s="583" t="str">
        <f t="shared" si="44"/>
        <v/>
      </c>
      <c r="P97" s="583" t="str">
        <f t="shared" si="50"/>
        <v/>
      </c>
      <c r="Q97" s="617" t="str">
        <f t="shared" si="51"/>
        <v/>
      </c>
      <c r="S97" s="99">
        <f>Цена!A97</f>
        <v>95</v>
      </c>
      <c r="T97" s="62" t="str">
        <f>Цена!C97</f>
        <v>Замена</v>
      </c>
      <c r="U97" s="97">
        <f>'Плёнка ПДТ'!J6</f>
        <v>0</v>
      </c>
      <c r="V97" s="32">
        <f t="shared" si="43"/>
        <v>95</v>
      </c>
      <c r="W97" s="10" t="str">
        <f t="shared" si="8"/>
        <v>Замена</v>
      </c>
      <c r="X97" s="97">
        <f>'Плёнка ПДТ'!K6</f>
        <v>0</v>
      </c>
      <c r="Z97" s="32">
        <f t="shared" si="55"/>
        <v>95</v>
      </c>
      <c r="AA97" s="10" t="str">
        <f t="shared" si="7"/>
        <v>Замена</v>
      </c>
      <c r="AB97" s="97">
        <f>'Плёнка ПДТ'!L6</f>
        <v>0</v>
      </c>
    </row>
    <row r="98" spans="1:28" ht="15.75">
      <c r="A98" s="39">
        <f t="shared" si="5"/>
        <v>96</v>
      </c>
      <c r="B98" s="117"/>
      <c r="C98" s="9" t="s">
        <v>705</v>
      </c>
      <c r="D98" s="738" t="s">
        <v>1075</v>
      </c>
      <c r="E98" s="421"/>
      <c r="F98" s="738"/>
      <c r="G98" s="738"/>
      <c r="H98" s="15"/>
      <c r="I98" s="738"/>
      <c r="J98" s="119"/>
      <c r="K98" s="165"/>
      <c r="L98" s="75"/>
      <c r="M98" s="75">
        <f t="shared" si="54"/>
        <v>96</v>
      </c>
      <c r="N98" s="594" t="s">
        <v>1082</v>
      </c>
      <c r="O98" s="583" t="str">
        <f t="shared" si="44"/>
        <v/>
      </c>
      <c r="P98" s="583" t="str">
        <f t="shared" si="50"/>
        <v/>
      </c>
      <c r="Q98" s="617" t="str">
        <f t="shared" si="51"/>
        <v/>
      </c>
      <c r="S98" s="99">
        <f>Цена!A98</f>
        <v>96</v>
      </c>
      <c r="T98" s="62" t="str">
        <f>Цена!C98</f>
        <v>_плёнка</v>
      </c>
      <c r="U98" s="97" t="str">
        <f>IF(Бланк!$G$10=T98,HLOOKUP(Бланк!$M$2,Цены[#All],S98,0),"")</f>
        <v/>
      </c>
      <c r="V98" s="32">
        <f t="shared" ref="V98:V129" si="56">A98</f>
        <v>96</v>
      </c>
      <c r="W98" s="10" t="str">
        <f t="shared" si="8"/>
        <v>_плёнка</v>
      </c>
      <c r="X98" s="97" t="str">
        <f>IF(Бланк!$G$26=W98,HLOOKUP(Бланк!$M$18,Цены[#All],V98,0),"")</f>
        <v/>
      </c>
      <c r="Z98" s="32">
        <f t="shared" si="55"/>
        <v>96</v>
      </c>
      <c r="AA98" s="10" t="str">
        <f t="shared" si="7"/>
        <v>_плёнка</v>
      </c>
      <c r="AB98" s="97" t="str">
        <f>IF(Бланк!$G$42=AA98,HLOOKUP(Бланк!$M$34,Цены[#All],Z98,0),"")</f>
        <v/>
      </c>
    </row>
    <row r="99" spans="1:28" s="39" customFormat="1" ht="15.75">
      <c r="A99" s="39">
        <f t="shared" si="5"/>
        <v>97</v>
      </c>
      <c r="B99" s="117"/>
      <c r="C99" s="9" t="s">
        <v>922</v>
      </c>
      <c r="D99" s="738"/>
      <c r="E99" s="421"/>
      <c r="F99" s="738"/>
      <c r="G99" s="738"/>
      <c r="H99" s="15"/>
      <c r="I99" s="738"/>
      <c r="J99" s="119"/>
      <c r="K99" s="165"/>
      <c r="L99" s="582"/>
      <c r="M99" s="75">
        <f t="shared" si="54"/>
        <v>97</v>
      </c>
      <c r="N99" s="594" t="s">
        <v>1082</v>
      </c>
      <c r="O99" s="583" t="str">
        <f t="shared" ref="O99:O130" si="57">IF(U99=$V$1,"Ошибка-1","")</f>
        <v/>
      </c>
      <c r="P99" s="583" t="str">
        <f t="shared" si="50"/>
        <v/>
      </c>
      <c r="Q99" s="617" t="str">
        <f t="shared" si="51"/>
        <v/>
      </c>
      <c r="S99" s="99">
        <f>Цена!A99</f>
        <v>97</v>
      </c>
      <c r="T99" s="62" t="str">
        <f>Цена!C99</f>
        <v>ошибки</v>
      </c>
      <c r="U99" s="97" t="b">
        <f>'Плёнка ПДТ'!F11</f>
        <v>0</v>
      </c>
      <c r="V99" s="32">
        <f t="shared" si="56"/>
        <v>97</v>
      </c>
      <c r="W99" s="10" t="str">
        <f>T99</f>
        <v>ошибки</v>
      </c>
      <c r="X99" s="97" t="b">
        <f>'Плёнка ПДТ'!K11</f>
        <v>0</v>
      </c>
      <c r="Z99" s="32">
        <f t="shared" si="55"/>
        <v>97</v>
      </c>
      <c r="AA99" s="10" t="str">
        <f>T99</f>
        <v>ошибки</v>
      </c>
      <c r="AB99" s="97">
        <f>'Плёнка ПДТ'!P11</f>
        <v>0</v>
      </c>
    </row>
    <row r="100" spans="1:28" s="39" customFormat="1" ht="15.75">
      <c r="A100" s="39">
        <f t="shared" si="5"/>
        <v>98</v>
      </c>
      <c r="B100" s="117" t="s">
        <v>706</v>
      </c>
      <c r="C100" s="9" t="str">
        <f>Профдекор[[#Headers],[Структурная]]</f>
        <v>Структурная</v>
      </c>
      <c r="D100" s="738" t="s">
        <v>1075</v>
      </c>
      <c r="E100" s="421">
        <v>90</v>
      </c>
      <c r="F100" s="738">
        <f>Цены[[#This Row],[О_1]]</f>
        <v>90</v>
      </c>
      <c r="G100" s="738" t="s">
        <v>1075</v>
      </c>
      <c r="H100" s="15">
        <f>Цены[[#This Row],[О_1]]</f>
        <v>90</v>
      </c>
      <c r="I100" s="738">
        <f>Цены[[#This Row],[М_1]]</f>
        <v>90</v>
      </c>
      <c r="J100" s="119">
        <f>Цены[[#This Row],[М_2]]</f>
        <v>90</v>
      </c>
      <c r="K100" s="165">
        <f>Цены[[#This Row],[М_3]]</f>
        <v>90</v>
      </c>
      <c r="L100" s="75"/>
      <c r="M100" s="75">
        <f t="shared" si="54"/>
        <v>98</v>
      </c>
      <c r="N100" s="613" t="s">
        <v>1084</v>
      </c>
      <c r="O100" s="583" t="str">
        <f t="shared" si="57"/>
        <v/>
      </c>
      <c r="P100" s="583" t="str">
        <f t="shared" si="50"/>
        <v/>
      </c>
      <c r="Q100" s="617" t="str">
        <f t="shared" si="51"/>
        <v/>
      </c>
      <c r="S100" s="99">
        <f>Цена!A100</f>
        <v>98</v>
      </c>
      <c r="T100" s="62" t="str">
        <f>Цена!C100</f>
        <v>Структурная</v>
      </c>
      <c r="U100" s="97" t="str">
        <f>IF(Бланк!D10="","",IF(Бланк!$F$10=T100,HLOOKUP(Бланк!$M$2,Цены[#All],S100,0),0)+IF(AND(Бланк!$F$10=T100,OR(Бланк!H9="_16мм",Бланк!H9="_16_влаго"),OR(Бланк!L9="Комби.",Бланк!L9="_3_Д")),30,0))</f>
        <v/>
      </c>
      <c r="V100" s="32">
        <f t="shared" si="56"/>
        <v>98</v>
      </c>
      <c r="W100" s="10" t="str">
        <f>T100</f>
        <v>Структурная</v>
      </c>
      <c r="X100" s="97">
        <f>IF(Бланк!$F$26=W100,HLOOKUP(Бланк!$M$18,Цены[#All],V100,0),0)+IF(AND(Бланк!$F$26=W100,OR(Бланк!H25="_16мм",Бланк!H25="_16_влаго"),OR(Бланк!L25="Комби.",Бланк!L25="_3_Д")),30,0)</f>
        <v>0</v>
      </c>
      <c r="Z100" s="32">
        <f t="shared" si="55"/>
        <v>98</v>
      </c>
      <c r="AA100" s="10" t="str">
        <f>T100</f>
        <v>Структурная</v>
      </c>
      <c r="AB100" s="97">
        <f>IF(Бланк!$F$42=AA100,HLOOKUP(Бланк!$M$34,Цены[#All],Z100,0),0)+IF(AND(Бланк!$F$42=AA100,OR(Бланк!H41="_16мм",Бланк!H41="_16_влаго"),OR(Бланк!L41="Комби.",Бланк!L41="_3_Д")),30,0)</f>
        <v>0</v>
      </c>
    </row>
    <row r="101" spans="1:28" s="39" customFormat="1" ht="15.75">
      <c r="A101" s="39">
        <f t="shared" si="5"/>
        <v>99</v>
      </c>
      <c r="B101" s="117"/>
      <c r="C101" s="9" t="str">
        <f>Профдекор[[#Headers],[Грунтовка щита МДФ]]</f>
        <v>Грунтовка щита МДФ</v>
      </c>
      <c r="D101" s="738" t="s">
        <v>1075</v>
      </c>
      <c r="E101" s="421">
        <v>60</v>
      </c>
      <c r="F101" s="738">
        <f>Цены[[#This Row],[О_1]]</f>
        <v>60</v>
      </c>
      <c r="G101" s="738" t="s">
        <v>1075</v>
      </c>
      <c r="H101" s="15">
        <f>Цены[[#This Row],[О_1]]</f>
        <v>60</v>
      </c>
      <c r="I101" s="738">
        <f>Цены[[#This Row],[М_1]]</f>
        <v>60</v>
      </c>
      <c r="J101" s="119">
        <f>Цены[[#This Row],[М_2]]</f>
        <v>60</v>
      </c>
      <c r="K101" s="165">
        <f>Цены[[#This Row],[М_3]]</f>
        <v>60</v>
      </c>
      <c r="L101" s="75"/>
      <c r="M101" s="75">
        <f t="shared" si="54"/>
        <v>99</v>
      </c>
      <c r="N101" s="613" t="s">
        <v>1084</v>
      </c>
      <c r="O101" s="583" t="str">
        <f t="shared" si="57"/>
        <v/>
      </c>
      <c r="P101" s="583" t="str">
        <f t="shared" si="50"/>
        <v/>
      </c>
      <c r="Q101" s="617" t="str">
        <f t="shared" si="51"/>
        <v/>
      </c>
      <c r="S101" s="99">
        <f>Цена!A101</f>
        <v>99</v>
      </c>
      <c r="T101" s="521" t="str">
        <f>Цена!C101</f>
        <v>Грунтовка щита МДФ</v>
      </c>
      <c r="U101" s="97">
        <f>IF(Бланк!$F$10=T101,HLOOKUP(Бланк!$M$2,Цены[#All],S101,0),0)+IF(AND(Бланк!$F$10=T101,OR(Бланк!H10="_16мм",Бланк!H10="_16_влаго"),OR(Бланк!L10="Комби.",Бланк!L10="_3_Д")),30,0)</f>
        <v>0</v>
      </c>
      <c r="V101" s="32">
        <f t="shared" si="56"/>
        <v>99</v>
      </c>
      <c r="W101" s="10" t="str">
        <f>T101</f>
        <v>Грунтовка щита МДФ</v>
      </c>
      <c r="X101" s="97">
        <f>IF(Бланк!$F$26=W101,HLOOKUP(Бланк!$M$18,Цены[#All],V101,0),0)+IF(AND(Бланк!$F$26=W101,OR(Бланк!H26="_16мм",Бланк!H26="_16_влаго"),OR(Бланк!L26="Комби.",Бланк!L26="_3_Д")),30,0)</f>
        <v>0</v>
      </c>
      <c r="Z101" s="32">
        <f t="shared" si="55"/>
        <v>99</v>
      </c>
      <c r="AA101" s="10" t="str">
        <f>T101</f>
        <v>Грунтовка щита МДФ</v>
      </c>
      <c r="AB101" s="97">
        <f>IF(Бланк!$F$42=AA101,HLOOKUP(Бланк!$M$34,Цены[#All],Z101,0),0)+IF(AND(Бланк!$F$42=AA101,OR(Бланк!H42="_16мм",Бланк!H42="_16_влаго"),OR(Бланк!L42="Комби.",Бланк!L42="_3_Д")),30,0)</f>
        <v>0</v>
      </c>
    </row>
    <row r="102" spans="1:28" s="39" customFormat="1" ht="15.75">
      <c r="A102" s="39">
        <f t="shared" si="5"/>
        <v>100</v>
      </c>
      <c r="B102" s="117"/>
      <c r="C102" s="9" t="str">
        <f>Профдекор[[#Headers],[Гладкая_стандарт]]</f>
        <v>Гладкая_стандарт</v>
      </c>
      <c r="D102" s="738" t="s">
        <v>1075</v>
      </c>
      <c r="E102" s="421">
        <v>95</v>
      </c>
      <c r="F102" s="738">
        <f>Цены[[#This Row],[О_1]]</f>
        <v>95</v>
      </c>
      <c r="G102" s="738" t="s">
        <v>1075</v>
      </c>
      <c r="H102" s="15">
        <f>Цены[[#This Row],[О_1]]</f>
        <v>95</v>
      </c>
      <c r="I102" s="738">
        <f>Цены[[#This Row],[М_1]]</f>
        <v>95</v>
      </c>
      <c r="J102" s="119">
        <f>Цены[[#This Row],[М_2]]</f>
        <v>95</v>
      </c>
      <c r="K102" s="165">
        <f>Цены[[#This Row],[О_2]]</f>
        <v>95</v>
      </c>
      <c r="L102" s="75"/>
      <c r="M102" s="75">
        <f t="shared" si="54"/>
        <v>100</v>
      </c>
      <c r="N102" s="613" t="s">
        <v>1084</v>
      </c>
      <c r="O102" s="583" t="str">
        <f t="shared" si="57"/>
        <v/>
      </c>
      <c r="P102" s="583" t="str">
        <f t="shared" si="50"/>
        <v/>
      </c>
      <c r="Q102" s="617" t="str">
        <f t="shared" si="51"/>
        <v/>
      </c>
      <c r="S102" s="99">
        <f>Цена!A102</f>
        <v>100</v>
      </c>
      <c r="T102" s="62" t="str">
        <f>Цена!C102</f>
        <v>Гладкая_стандарт</v>
      </c>
      <c r="U102" s="97">
        <f>IF(Бланк!$F$10=T102,HLOOKUP(Бланк!$M$2,Цены[#All],S102,0),0)</f>
        <v>0</v>
      </c>
      <c r="V102" s="32">
        <f t="shared" si="56"/>
        <v>100</v>
      </c>
      <c r="W102" s="10" t="str">
        <f>T102</f>
        <v>Гладкая_стандарт</v>
      </c>
      <c r="X102" s="97">
        <f>IF(Бланк!$F$26=W102,HLOOKUP(Бланк!$M$18,Цены[#All],V102,0),0)+IF(AND(Бланк!$F$26=W102,OR(Бланк!H27="_16мм",Бланк!H27="_16_влаго"),OR(Бланк!L27="Комби.",Бланк!L27="_3_Д")),30,0)</f>
        <v>0</v>
      </c>
      <c r="Z102" s="32">
        <f t="shared" si="55"/>
        <v>100</v>
      </c>
      <c r="AA102" s="10" t="str">
        <f>T102</f>
        <v>Гладкая_стандарт</v>
      </c>
      <c r="AB102" s="97">
        <f>IF(Бланк!$F$42=AA102,HLOOKUP(Бланк!$M$34,Цены[#All],Z102,0),0)+IF(AND(Бланк!$F$42=AA102,OR(Бланк!H43="_16мм",Бланк!H43="_16_влаго"),OR(Бланк!L43="Комби.",Бланк!L43="_3_Д")),30,0)</f>
        <v>0</v>
      </c>
    </row>
    <row r="103" spans="1:28" s="39" customFormat="1" ht="15.75">
      <c r="A103" s="39">
        <f t="shared" si="5"/>
        <v>101</v>
      </c>
      <c r="B103" s="117"/>
      <c r="C103" s="9" t="str">
        <f>Профдекор[[#Headers],[Гладкая_нестандарт]]</f>
        <v>Гладкая_нестандарт</v>
      </c>
      <c r="D103" s="738"/>
      <c r="E103" s="165">
        <f>E102+15</f>
        <v>110</v>
      </c>
      <c r="F103" s="738">
        <f t="shared" ref="F103" si="58">F102+11</f>
        <v>106</v>
      </c>
      <c r="G103" s="738" t="s">
        <v>1075</v>
      </c>
      <c r="H103" s="15">
        <f>Цены[[#This Row],[О_1]]</f>
        <v>110</v>
      </c>
      <c r="I103" s="738">
        <f>Цены[[#This Row],[М_1]]</f>
        <v>110</v>
      </c>
      <c r="J103" s="119">
        <f>Цены[[#This Row],[М_2]]</f>
        <v>110</v>
      </c>
      <c r="K103" s="165">
        <f t="shared" ref="K103" si="59">K102+11</f>
        <v>106</v>
      </c>
      <c r="L103" s="75"/>
      <c r="M103" s="75">
        <f t="shared" si="54"/>
        <v>101</v>
      </c>
      <c r="N103" s="613" t="s">
        <v>1084</v>
      </c>
      <c r="O103" s="583" t="str">
        <f t="shared" si="57"/>
        <v/>
      </c>
      <c r="P103" s="583" t="str">
        <f t="shared" si="50"/>
        <v/>
      </c>
      <c r="Q103" s="617" t="str">
        <f t="shared" si="51"/>
        <v/>
      </c>
      <c r="S103" s="99">
        <f>Цена!A103</f>
        <v>101</v>
      </c>
      <c r="T103" s="62" t="str">
        <f>Цена!C103</f>
        <v>Гладкая_нестандарт</v>
      </c>
      <c r="U103" s="97">
        <f>IF(Бланк!$F$10=T103,HLOOKUP(Бланк!$M$2,Цены[#All],S103,0),0)+IF(AND(Бланк!$F$10=T103,OR(Бланк!H12="_16мм",Бланк!H12="_16_влаго"),OR(Бланк!L12="Комби.",Бланк!L12="_3_Д")),30,0)</f>
        <v>0</v>
      </c>
      <c r="V103" s="32">
        <f t="shared" si="56"/>
        <v>101</v>
      </c>
      <c r="W103" s="10" t="str">
        <f>T103</f>
        <v>Гладкая_нестандарт</v>
      </c>
      <c r="X103" s="97">
        <f>IF(Бланк!$F$26=W103,HLOOKUP(Бланк!$M$18,Цены[#All],V103,0),0)+IF(AND(Бланк!$F$26=W103,OR(Бланк!H28="_16мм",Бланк!H28="_16_влаго"),OR(Бланк!L28="Комби.",Бланк!L28="_3_Д")),30,0)</f>
        <v>0</v>
      </c>
      <c r="Z103" s="32">
        <f t="shared" si="55"/>
        <v>101</v>
      </c>
      <c r="AA103" s="10" t="str">
        <f>T103</f>
        <v>Гладкая_нестандарт</v>
      </c>
      <c r="AB103" s="97">
        <f>IF(Бланк!$F$42=AA103,HLOOKUP(Бланк!$M$34,Цены[#All],Z103,0),0)+IF(AND(Бланк!$F$42=AA103,OR(Бланк!H44="_16мм",Бланк!H44="_16_влаго"),OR(Бланк!L44="Комби.",Бланк!L44="_3_Д")),30,0)</f>
        <v>0</v>
      </c>
    </row>
    <row r="104" spans="1:28" s="39" customFormat="1" ht="15.75">
      <c r="A104" s="39">
        <f t="shared" si="5"/>
        <v>102</v>
      </c>
      <c r="B104" s="117" t="s">
        <v>67</v>
      </c>
      <c r="C104" s="9"/>
      <c r="D104" s="738"/>
      <c r="E104" s="165"/>
      <c r="F104" s="738"/>
      <c r="G104" s="738"/>
      <c r="H104" s="15"/>
      <c r="I104" s="738"/>
      <c r="J104" s="119"/>
      <c r="K104" s="165"/>
      <c r="L104" s="75"/>
      <c r="M104" s="75">
        <f t="shared" si="54"/>
        <v>102</v>
      </c>
      <c r="N104" s="594" t="s">
        <v>1083</v>
      </c>
      <c r="O104" s="583" t="str">
        <f t="shared" si="57"/>
        <v/>
      </c>
      <c r="P104" s="583" t="str">
        <f t="shared" si="50"/>
        <v/>
      </c>
      <c r="Q104" s="617" t="str">
        <f t="shared" si="51"/>
        <v/>
      </c>
      <c r="S104" s="32">
        <f>Цена!A104</f>
        <v>102</v>
      </c>
      <c r="T104" s="62">
        <f>Цена!C104</f>
        <v>0</v>
      </c>
      <c r="U104" s="97">
        <f>IF(AND(Бланк!M2="Индивид.",Бланк!M11=""),"",IF(Бланк!$G$12=T104,HLOOKUP(Бланк!$M$2,Цены[#All],S104,0),""))</f>
        <v>0</v>
      </c>
      <c r="V104" s="32">
        <f t="shared" si="56"/>
        <v>102</v>
      </c>
      <c r="W104" s="10">
        <f t="shared" si="8"/>
        <v>0</v>
      </c>
      <c r="X104" s="97">
        <f>IF(Бланк!$G$28=W104,HLOOKUP(Бланк!$M$18,Цены[#All],V104,0),"")</f>
        <v>0</v>
      </c>
      <c r="Z104" s="32">
        <f t="shared" si="55"/>
        <v>102</v>
      </c>
      <c r="AA104" s="10">
        <f t="shared" si="7"/>
        <v>0</v>
      </c>
      <c r="AB104" s="97">
        <f>IF(Бланк!$G$44=AA104,HLOOKUP(Бланк!$M$34,Цены[#All],Z104,0),"")</f>
        <v>0</v>
      </c>
    </row>
    <row r="105" spans="1:28" s="39" customFormat="1" ht="15.75">
      <c r="A105" s="39">
        <f t="shared" si="5"/>
        <v>103</v>
      </c>
      <c r="B105" s="117" t="s">
        <v>314</v>
      </c>
      <c r="C105" s="9" t="s">
        <v>1260</v>
      </c>
      <c r="D105" s="738"/>
      <c r="E105" s="604"/>
      <c r="F105" s="738"/>
      <c r="G105" s="738"/>
      <c r="H105" s="15"/>
      <c r="I105" s="738"/>
      <c r="J105" s="119"/>
      <c r="K105" s="165"/>
      <c r="L105" s="75"/>
      <c r="M105" s="75">
        <f t="shared" si="54"/>
        <v>103</v>
      </c>
      <c r="N105" s="594" t="s">
        <v>1083</v>
      </c>
      <c r="O105" s="583" t="str">
        <f t="shared" si="57"/>
        <v/>
      </c>
      <c r="P105" s="583" t="str">
        <f t="shared" si="50"/>
        <v/>
      </c>
      <c r="Q105" s="617" t="str">
        <f t="shared" si="51"/>
        <v/>
      </c>
      <c r="S105" s="32">
        <f>Цена!A105</f>
        <v>103</v>
      </c>
      <c r="T105" s="62" t="str">
        <f>Цена!C105</f>
        <v>Замена</v>
      </c>
      <c r="U105" s="97">
        <f>'Плёнка ПДТ'!J7</f>
        <v>0</v>
      </c>
      <c r="V105" s="32">
        <f t="shared" si="56"/>
        <v>103</v>
      </c>
      <c r="W105" s="10" t="str">
        <f t="shared" si="8"/>
        <v>Замена</v>
      </c>
      <c r="X105" s="97">
        <f>'Плёнка ПДТ'!K7</f>
        <v>0</v>
      </c>
      <c r="Z105" s="32">
        <f t="shared" si="55"/>
        <v>103</v>
      </c>
      <c r="AA105" s="10" t="str">
        <f t="shared" si="7"/>
        <v>Замена</v>
      </c>
      <c r="AB105" s="97">
        <f>'Плёнка ПДТ'!L7</f>
        <v>0</v>
      </c>
    </row>
    <row r="106" spans="1:28" s="39" customFormat="1" ht="15.75">
      <c r="A106" s="39">
        <f t="shared" si="5"/>
        <v>104</v>
      </c>
      <c r="B106" s="117"/>
      <c r="C106" s="9" t="s">
        <v>1264</v>
      </c>
      <c r="D106" s="738"/>
      <c r="E106" s="165"/>
      <c r="F106" s="738"/>
      <c r="G106" s="738"/>
      <c r="H106" s="15"/>
      <c r="I106" s="738"/>
      <c r="J106" s="119"/>
      <c r="K106" s="165"/>
      <c r="L106" s="75"/>
      <c r="M106" s="75">
        <f t="shared" si="54"/>
        <v>104</v>
      </c>
      <c r="N106" s="594" t="s">
        <v>1083</v>
      </c>
      <c r="O106" s="583" t="str">
        <f t="shared" si="57"/>
        <v/>
      </c>
      <c r="P106" s="583" t="str">
        <f t="shared" si="50"/>
        <v/>
      </c>
      <c r="Q106" s="617" t="str">
        <f t="shared" si="51"/>
        <v/>
      </c>
      <c r="S106" s="32">
        <f>Цена!A106</f>
        <v>104</v>
      </c>
      <c r="T106" s="62" t="str">
        <f>Цена!C106</f>
        <v>ошибка</v>
      </c>
      <c r="U106" s="97" t="b">
        <f>'Плёнка ПДТ'!F13</f>
        <v>0</v>
      </c>
      <c r="V106" s="32">
        <f t="shared" si="56"/>
        <v>104</v>
      </c>
      <c r="W106" s="10" t="str">
        <f t="shared" si="8"/>
        <v>ошибка</v>
      </c>
      <c r="X106" s="97" t="b">
        <f>'Плёнка ПДТ'!K13</f>
        <v>0</v>
      </c>
      <c r="Z106" s="32">
        <f t="shared" si="55"/>
        <v>104</v>
      </c>
      <c r="AA106" s="10" t="str">
        <f t="shared" si="7"/>
        <v>ошибка</v>
      </c>
      <c r="AB106" s="97" t="b">
        <f>'Плёнка ПДТ'!P13</f>
        <v>0</v>
      </c>
    </row>
    <row r="107" spans="1:28" s="39" customFormat="1" ht="15.75">
      <c r="A107" s="39">
        <f t="shared" si="5"/>
        <v>105</v>
      </c>
      <c r="B107" s="117" t="s">
        <v>317</v>
      </c>
      <c r="C107" s="9"/>
      <c r="D107" s="738"/>
      <c r="E107" s="165"/>
      <c r="F107" s="738"/>
      <c r="G107" s="738"/>
      <c r="H107" s="15"/>
      <c r="I107" s="738"/>
      <c r="J107" s="119"/>
      <c r="K107" s="165"/>
      <c r="L107" s="75"/>
      <c r="M107" s="75">
        <f t="shared" si="54"/>
        <v>105</v>
      </c>
      <c r="N107" s="594" t="s">
        <v>1083</v>
      </c>
      <c r="O107" s="583" t="str">
        <f t="shared" si="57"/>
        <v/>
      </c>
      <c r="P107" s="583" t="str">
        <f t="shared" si="50"/>
        <v/>
      </c>
      <c r="Q107" s="617" t="str">
        <f t="shared" si="51"/>
        <v/>
      </c>
      <c r="S107" s="32">
        <f>Цена!A107</f>
        <v>105</v>
      </c>
      <c r="T107" s="62">
        <f>Цена!C107</f>
        <v>0</v>
      </c>
      <c r="U107" s="97">
        <f>IF(AND(Бланк!M2="Индивид.",Бланк!M11=""),"",IF(Бланк!$F$12=T107,HLOOKUP(Бланк!$M$2,Цены[#All],S107,0),""))</f>
        <v>0</v>
      </c>
      <c r="V107" s="32">
        <f t="shared" si="56"/>
        <v>105</v>
      </c>
      <c r="W107" s="10">
        <f>T107</f>
        <v>0</v>
      </c>
      <c r="X107" s="97">
        <f>IF(Бланк!$F$28=W107,HLOOKUP(Бланк!$M$18,Цены[#All],V107,0),"")</f>
        <v>0</v>
      </c>
      <c r="Z107" s="32">
        <f t="shared" si="55"/>
        <v>105</v>
      </c>
      <c r="AA107" s="10">
        <f>T107</f>
        <v>0</v>
      </c>
      <c r="AB107" s="97" t="str">
        <f>IF(Бланк!$F$44=AA107,HLOOKUP(Бланк!$M$34,Цены[#All],Z107,0),"")</f>
        <v/>
      </c>
    </row>
    <row r="108" spans="1:28" s="39" customFormat="1" ht="15.75">
      <c r="A108" s="39">
        <f t="shared" si="5"/>
        <v>106</v>
      </c>
      <c r="B108" s="117" t="s">
        <v>706</v>
      </c>
      <c r="C108" s="9" t="str">
        <f>Профдекор[[#Headers],[Структурная]]</f>
        <v>Структурная</v>
      </c>
      <c r="D108" s="738" t="s">
        <v>1075</v>
      </c>
      <c r="E108" s="165">
        <f t="shared" ref="E108:K109" si="60">E100</f>
        <v>90</v>
      </c>
      <c r="F108" s="738">
        <f t="shared" si="60"/>
        <v>90</v>
      </c>
      <c r="G108" s="738" t="s">
        <v>1075</v>
      </c>
      <c r="H108" s="15">
        <f t="shared" si="60"/>
        <v>90</v>
      </c>
      <c r="I108" s="738">
        <f t="shared" si="60"/>
        <v>90</v>
      </c>
      <c r="J108" s="119">
        <f t="shared" si="60"/>
        <v>90</v>
      </c>
      <c r="K108" s="165">
        <f t="shared" si="60"/>
        <v>90</v>
      </c>
      <c r="L108" s="75"/>
      <c r="M108" s="75">
        <f t="shared" si="54"/>
        <v>106</v>
      </c>
      <c r="N108" s="613" t="s">
        <v>1085</v>
      </c>
      <c r="O108" s="583" t="str">
        <f t="shared" si="57"/>
        <v/>
      </c>
      <c r="P108" s="583" t="str">
        <f t="shared" si="50"/>
        <v/>
      </c>
      <c r="Q108" s="617" t="str">
        <f t="shared" si="51"/>
        <v/>
      </c>
      <c r="S108" s="32">
        <f>Цена!A108</f>
        <v>106</v>
      </c>
      <c r="T108" s="62" t="str">
        <f>Цена!C108</f>
        <v>Структурная</v>
      </c>
      <c r="U108" s="97">
        <f>IF(AND(Бланк!$M$2="Индивид.",Бланк!$M$11=""),"",IF(Бланк!$G$12=T108,HLOOKUP(Бланк!$M$2,Цены[#All],S108,0),0)+IF(AND(Бланк!$F$12=T108,OR(Бланк!H11="_16мм",Бланк!H11="_16_влаго"),OR(Бланк!L11="Комби.",Бланк!L11="_3_Д")),30,0))</f>
        <v>0</v>
      </c>
      <c r="V108" s="32">
        <f t="shared" si="56"/>
        <v>106</v>
      </c>
      <c r="W108" s="10" t="str">
        <f>T108</f>
        <v>Структурная</v>
      </c>
      <c r="X108" s="97">
        <f>IF(Бланк!$G$28=W108,HLOOKUP(Бланк!$M$18,Цены[#All],V108,0),0)+IF(AND(Бланк!$F$28=W108,OR(Бланк!H27="_16мм",Бланк!H27="_16_влаго"),OR(Бланк!L27="Комби.",Бланк!L27="_3_Д")),30,0)</f>
        <v>0</v>
      </c>
      <c r="Z108" s="32">
        <f t="shared" si="55"/>
        <v>106</v>
      </c>
      <c r="AA108" s="10" t="str">
        <f>T108</f>
        <v>Структурная</v>
      </c>
      <c r="AB108" s="97">
        <f>IF(Бланк!$G$44=AA108,HLOOKUP(Бланк!$M$34,Цены[#All],Z108,0),0)+IF(AND(Бланк!$F$44=AA108,OR(Бланк!H43="_16мм",Бланк!H43="_16_влаго"),OR(Бланк!L43="Комби.",Бланк!L43="_3_Д")),30,0)</f>
        <v>0</v>
      </c>
    </row>
    <row r="109" spans="1:28" s="39" customFormat="1" ht="15.75">
      <c r="A109" s="39">
        <f t="shared" si="5"/>
        <v>107</v>
      </c>
      <c r="B109" s="117"/>
      <c r="C109" s="9" t="str">
        <f>Профдекор[[#Headers],[Грунтовка щита МДФ]]</f>
        <v>Грунтовка щита МДФ</v>
      </c>
      <c r="D109" s="738"/>
      <c r="E109" s="165">
        <f>E101</f>
        <v>60</v>
      </c>
      <c r="F109" s="738">
        <f t="shared" si="60"/>
        <v>60</v>
      </c>
      <c r="G109" s="738" t="s">
        <v>1075</v>
      </c>
      <c r="H109" s="15">
        <f t="shared" si="60"/>
        <v>60</v>
      </c>
      <c r="I109" s="738">
        <f t="shared" si="60"/>
        <v>60</v>
      </c>
      <c r="J109" s="119">
        <f t="shared" si="60"/>
        <v>60</v>
      </c>
      <c r="K109" s="165">
        <f t="shared" si="60"/>
        <v>60</v>
      </c>
      <c r="L109" s="75"/>
      <c r="M109" s="75">
        <f t="shared" si="54"/>
        <v>107</v>
      </c>
      <c r="N109" s="613" t="s">
        <v>1085</v>
      </c>
      <c r="O109" s="583" t="str">
        <f t="shared" si="57"/>
        <v/>
      </c>
      <c r="P109" s="583" t="str">
        <f t="shared" si="50"/>
        <v/>
      </c>
      <c r="Q109" s="617" t="str">
        <f t="shared" si="51"/>
        <v/>
      </c>
      <c r="S109" s="32">
        <f>Цена!A109</f>
        <v>107</v>
      </c>
      <c r="T109" s="521" t="str">
        <f>Цена!C109</f>
        <v>Грунтовка щита МДФ</v>
      </c>
      <c r="U109" s="97">
        <f>IF(AND(Бланк!$M$2="Индивид.",Бланк!$M$11=""),"",IF(Бланк!$G$12=T109,HLOOKUP(Бланк!$M$2,Цены[#All],S109,0),0)+IF(AND(Бланк!$F$12=T109,OR(Бланк!H12="_16мм",Бланк!H12="_16_влаго"),OR(Бланк!L12="Комби.",Бланк!L12="_3_Д")),30,0))</f>
        <v>0</v>
      </c>
      <c r="V109" s="32">
        <f t="shared" si="56"/>
        <v>107</v>
      </c>
      <c r="W109" s="10" t="str">
        <f>T109</f>
        <v>Грунтовка щита МДФ</v>
      </c>
      <c r="X109" s="97">
        <f>IF(Бланк!$G$28=W109,HLOOKUP(Бланк!$M$18,Цены[#All],V109,0),0)+IF(AND(Бланк!$F$28=W109,OR(Бланк!H28="_16мм",Бланк!H28="_16_влаго"),OR(Бланк!L28="Комби.",Бланк!L28="_3_Д")),30,0)</f>
        <v>0</v>
      </c>
      <c r="Z109" s="32">
        <f t="shared" si="55"/>
        <v>107</v>
      </c>
      <c r="AA109" s="10" t="str">
        <f>T109</f>
        <v>Грунтовка щита МДФ</v>
      </c>
      <c r="AB109" s="97">
        <f>IF(Бланк!$G$44=AA109,HLOOKUP(Бланк!$M$34,Цены[#All],Z109,0),0)+IF(AND(Бланк!$F$44=AA109,OR(Бланк!H44="_16мм",Бланк!H44="_16_влаго"),OR(Бланк!L44="Комби.",Бланк!L44="_3_Д")),30,0)</f>
        <v>0</v>
      </c>
    </row>
    <row r="110" spans="1:28" s="39" customFormat="1" ht="15.75">
      <c r="A110" s="39">
        <f t="shared" si="5"/>
        <v>108</v>
      </c>
      <c r="B110" s="117"/>
      <c r="C110" s="9" t="str">
        <f>Профдекор[[#Headers],[Гладкая_стандарт]]</f>
        <v>Гладкая_стандарт</v>
      </c>
      <c r="D110" s="738" t="s">
        <v>1075</v>
      </c>
      <c r="E110" s="165">
        <f>E102</f>
        <v>95</v>
      </c>
      <c r="F110" s="738">
        <f t="shared" ref="F110:K110" si="61">F102</f>
        <v>95</v>
      </c>
      <c r="G110" s="738" t="s">
        <v>1075</v>
      </c>
      <c r="H110" s="15">
        <f t="shared" si="61"/>
        <v>95</v>
      </c>
      <c r="I110" s="738">
        <f t="shared" si="61"/>
        <v>95</v>
      </c>
      <c r="J110" s="119">
        <f t="shared" si="61"/>
        <v>95</v>
      </c>
      <c r="K110" s="165">
        <f t="shared" si="61"/>
        <v>95</v>
      </c>
      <c r="L110" s="75"/>
      <c r="M110" s="75">
        <f t="shared" si="54"/>
        <v>108</v>
      </c>
      <c r="N110" s="613" t="s">
        <v>1085</v>
      </c>
      <c r="O110" s="583" t="str">
        <f t="shared" si="57"/>
        <v/>
      </c>
      <c r="P110" s="583" t="str">
        <f t="shared" si="50"/>
        <v/>
      </c>
      <c r="Q110" s="617" t="str">
        <f t="shared" si="51"/>
        <v/>
      </c>
      <c r="S110" s="32">
        <f>Цена!A110</f>
        <v>108</v>
      </c>
      <c r="T110" s="62" t="str">
        <f>Цена!C110</f>
        <v>Гладкая_стандарт</v>
      </c>
      <c r="U110" s="97">
        <f>IF(Бланк!$G$12=T110,HLOOKUP(Бланк!$M$2,Цены[#All],S110,0),0)+IF(AND(Бланк!$F$12=T110,OR(Бланк!H13="_16мм",Бланк!H13="_16_влаго"),OR(Бланк!L13="Комби.",Бланк!L13="_3_Д")),30,0)</f>
        <v>0</v>
      </c>
      <c r="V110" s="32">
        <f t="shared" si="56"/>
        <v>108</v>
      </c>
      <c r="W110" s="10" t="str">
        <f>T110</f>
        <v>Гладкая_стандарт</v>
      </c>
      <c r="X110" s="97">
        <f>IF(Бланк!$G$28=W110,HLOOKUP(Бланк!$M$18,Цены[#All],V110,0),0)+IF(AND(Бланк!$F$28=W110,OR(Бланк!H29="_16мм",Бланк!H29="_16_влаго"),OR(Бланк!L29="Комби.",Бланк!L29="_3_Д")),30,0)</f>
        <v>0</v>
      </c>
      <c r="Z110" s="32">
        <f t="shared" si="55"/>
        <v>108</v>
      </c>
      <c r="AA110" s="10" t="str">
        <f>T110</f>
        <v>Гладкая_стандарт</v>
      </c>
      <c r="AB110" s="97">
        <f>IF(Бланк!$G$44=AA110,HLOOKUP(Бланк!$M$34,Цены[#All],Z110,0),0)+IF(AND(Бланк!$F$44=AA110,OR(Бланк!H45="_16мм",Бланк!H45="_16_влаго"),OR(Бланк!L45="Комби.",Бланк!L45="_3_Д")),30,0)</f>
        <v>0</v>
      </c>
    </row>
    <row r="111" spans="1:28" s="39" customFormat="1" ht="15.75">
      <c r="A111" s="39">
        <f t="shared" si="5"/>
        <v>109</v>
      </c>
      <c r="B111" s="117"/>
      <c r="C111" s="9" t="str">
        <f>Профдекор[[#Headers],[Гладкая_нестандарт]]</f>
        <v>Гладкая_нестандарт</v>
      </c>
      <c r="D111" s="738"/>
      <c r="E111" s="165">
        <f>E103</f>
        <v>110</v>
      </c>
      <c r="F111" s="738">
        <f t="shared" ref="F111:K111" si="62">F103</f>
        <v>106</v>
      </c>
      <c r="G111" s="738" t="s">
        <v>1075</v>
      </c>
      <c r="H111" s="15">
        <f t="shared" si="62"/>
        <v>110</v>
      </c>
      <c r="I111" s="738">
        <f t="shared" si="62"/>
        <v>110</v>
      </c>
      <c r="J111" s="119">
        <f t="shared" si="62"/>
        <v>110</v>
      </c>
      <c r="K111" s="165">
        <f t="shared" si="62"/>
        <v>106</v>
      </c>
      <c r="L111" s="75"/>
      <c r="M111" s="75">
        <f t="shared" si="54"/>
        <v>109</v>
      </c>
      <c r="N111" s="613" t="s">
        <v>1085</v>
      </c>
      <c r="O111" s="583" t="str">
        <f t="shared" si="57"/>
        <v/>
      </c>
      <c r="P111" s="583" t="str">
        <f t="shared" si="50"/>
        <v/>
      </c>
      <c r="Q111" s="617" t="str">
        <f t="shared" si="51"/>
        <v/>
      </c>
      <c r="S111" s="32">
        <f>Цена!A111</f>
        <v>109</v>
      </c>
      <c r="T111" s="62" t="str">
        <f>Цена!C111</f>
        <v>Гладкая_нестандарт</v>
      </c>
      <c r="U111" s="97">
        <f>IF(Бланк!$G$12=T111,HLOOKUP(Бланк!$M$2,Цены[#All],S111,0),0)+IF(AND(Бланк!$F$12=T111,OR(Бланк!H14="_16мм",Бланк!H14="_16_влаго"),OR(Бланк!L14="Комби.",Бланк!L14="_3_Д")),30,0)</f>
        <v>0</v>
      </c>
      <c r="V111" s="32">
        <f t="shared" si="56"/>
        <v>109</v>
      </c>
      <c r="W111" s="10" t="str">
        <f>T111</f>
        <v>Гладкая_нестандарт</v>
      </c>
      <c r="X111" s="97">
        <f>IF(Бланк!$G$28=W111,HLOOKUP(Бланк!$M$18,Цены[#All],V111,0),0)+IF(AND(Бланк!$F$28=W111,OR(Бланк!H30="_16мм",Бланк!H30="_16_влаго"),OR(Бланк!L30="Комби.",Бланк!L30="_3_Д")),30,0)</f>
        <v>0</v>
      </c>
      <c r="Z111" s="32">
        <f t="shared" si="55"/>
        <v>109</v>
      </c>
      <c r="AA111" s="10" t="str">
        <f>T111</f>
        <v>Гладкая_нестандарт</v>
      </c>
      <c r="AB111" s="97">
        <f>IF(Бланк!$G$44=AA111,HLOOKUP(Бланк!$M$34,Цены[#All],Z111,0),0)+IF(AND(Бланк!$F$44=AA111,OR(Бланк!H46="_16мм",Бланк!H46="_16_влаго"),OR(Бланк!L46="Комби.",Бланк!L46="_3_Д")),30,0)</f>
        <v>0</v>
      </c>
    </row>
    <row r="112" spans="1:28" ht="15.75">
      <c r="A112" s="39">
        <f t="shared" si="5"/>
        <v>110</v>
      </c>
      <c r="B112" s="117" t="s">
        <v>313</v>
      </c>
      <c r="C112" s="9" t="s">
        <v>5</v>
      </c>
      <c r="D112" s="738" t="s">
        <v>1075</v>
      </c>
      <c r="E112" s="165" t="s">
        <v>1075</v>
      </c>
      <c r="F112" s="15">
        <f>E113</f>
        <v>21</v>
      </c>
      <c r="G112" s="738" t="s">
        <v>1075</v>
      </c>
      <c r="H112" s="15">
        <f>Цены[[#This Row],[О_2]]</f>
        <v>21</v>
      </c>
      <c r="I112" s="15">
        <f>Цены[[#This Row],[М_1]]</f>
        <v>21</v>
      </c>
      <c r="J112" s="119">
        <f>Цены[[#This Row],[М_2]]</f>
        <v>21</v>
      </c>
      <c r="K112" s="165">
        <f>Цены[[#This Row],[М_3]]</f>
        <v>21</v>
      </c>
      <c r="L112" s="75"/>
      <c r="M112" s="75">
        <f t="shared" si="54"/>
        <v>110</v>
      </c>
      <c r="N112" s="594" t="str">
        <f>Цены[[#This Row],[Параметр]]</f>
        <v>Патина</v>
      </c>
      <c r="O112" s="583" t="str">
        <f t="shared" si="57"/>
        <v/>
      </c>
      <c r="P112" s="583" t="str">
        <f t="shared" si="50"/>
        <v/>
      </c>
      <c r="Q112" s="617" t="str">
        <f t="shared" si="51"/>
        <v/>
      </c>
      <c r="S112" s="32">
        <f>Цена!A112</f>
        <v>110</v>
      </c>
      <c r="T112" s="62" t="str">
        <f>Цена!C112</f>
        <v>Патина</v>
      </c>
      <c r="U112" s="97" t="str">
        <f>IF(Бланк!P10=T112,HLOOKUP(Бланк!$M$2,Цены[#All],S112,0),"")</f>
        <v/>
      </c>
      <c r="V112" s="32">
        <f t="shared" si="56"/>
        <v>110</v>
      </c>
      <c r="W112" s="10" t="str">
        <f t="shared" si="8"/>
        <v>Патина</v>
      </c>
      <c r="X112" s="97" t="str">
        <f>IF(Бланк!P26=W112,HLOOKUP(Бланк!$M$18,Цены[#All],V112,0),"")</f>
        <v/>
      </c>
      <c r="Z112" s="32">
        <f t="shared" si="55"/>
        <v>110</v>
      </c>
      <c r="AA112" s="10" t="str">
        <f t="shared" si="7"/>
        <v>Патина</v>
      </c>
      <c r="AB112" s="97" t="str">
        <f>IF(Бланк!$P$42=AA112,HLOOKUP(Бланк!$M$34,Цены[#All],Z112,0),"")</f>
        <v/>
      </c>
    </row>
    <row r="113" spans="1:28" s="39" customFormat="1" ht="15.75">
      <c r="A113" s="39">
        <f t="shared" si="5"/>
        <v>111</v>
      </c>
      <c r="B113" s="117" t="s">
        <v>314</v>
      </c>
      <c r="C113" s="9" t="s">
        <v>5</v>
      </c>
      <c r="D113" s="738" t="s">
        <v>1075</v>
      </c>
      <c r="E113" s="425">
        <v>21</v>
      </c>
      <c r="F113" s="15">
        <f>F112</f>
        <v>21</v>
      </c>
      <c r="G113" s="738" t="s">
        <v>1075</v>
      </c>
      <c r="H113" s="15">
        <f>H112</f>
        <v>21</v>
      </c>
      <c r="I113" s="15">
        <f>I112</f>
        <v>21</v>
      </c>
      <c r="J113" s="119">
        <f>J112</f>
        <v>21</v>
      </c>
      <c r="K113" s="165">
        <f>Цены[[#This Row],[М_3]]</f>
        <v>21</v>
      </c>
      <c r="L113" s="75"/>
      <c r="M113" s="75">
        <f t="shared" si="54"/>
        <v>111</v>
      </c>
      <c r="N113" s="594" t="str">
        <f>Цены[[#This Row],[Параметр]]</f>
        <v>Патина</v>
      </c>
      <c r="O113" s="583" t="str">
        <f t="shared" si="57"/>
        <v/>
      </c>
      <c r="P113" s="583" t="str">
        <f t="shared" si="50"/>
        <v/>
      </c>
      <c r="Q113" s="617" t="str">
        <f t="shared" si="51"/>
        <v/>
      </c>
      <c r="S113" s="32">
        <f>Цена!A113</f>
        <v>111</v>
      </c>
      <c r="T113" s="62" t="str">
        <f>Цена!C113</f>
        <v>Патина</v>
      </c>
      <c r="U113" s="97" t="str">
        <f>IF(Бланк!P12=T113,HLOOKUP(Бланк!$M$2,Цены[#All],S113,0),"")</f>
        <v/>
      </c>
      <c r="V113" s="32">
        <f t="shared" si="56"/>
        <v>111</v>
      </c>
      <c r="W113" s="10" t="str">
        <f t="shared" si="8"/>
        <v>Патина</v>
      </c>
      <c r="X113" s="97" t="str">
        <f>IF(Бланк!P28=W113,HLOOKUP(Бланк!$M$18,Цены[#All],V113,0),"")</f>
        <v/>
      </c>
      <c r="Z113" s="32">
        <f t="shared" si="55"/>
        <v>111</v>
      </c>
      <c r="AA113" s="10" t="str">
        <f t="shared" si="7"/>
        <v>Патина</v>
      </c>
      <c r="AB113" s="97" t="str">
        <f>IF(Бланк!$P$44=AA113,HLOOKUP(Бланк!$M$34,Цены[#All],Z113,0),"")</f>
        <v/>
      </c>
    </row>
    <row r="114" spans="1:28" s="39" customFormat="1" ht="15.75">
      <c r="A114" s="39">
        <f t="shared" si="5"/>
        <v>112</v>
      </c>
      <c r="B114" s="117" t="s">
        <v>3</v>
      </c>
      <c r="C114" s="9" t="s">
        <v>285</v>
      </c>
      <c r="D114" s="738" t="s">
        <v>1075</v>
      </c>
      <c r="E114" s="425">
        <v>7</v>
      </c>
      <c r="F114" s="15">
        <f>Цены[[#This Row],[О_1]]</f>
        <v>7</v>
      </c>
      <c r="G114" s="738" t="s">
        <v>1075</v>
      </c>
      <c r="H114" s="15">
        <f>Цены[[#This Row],[О_1]]</f>
        <v>7</v>
      </c>
      <c r="I114" s="15">
        <f>Цены[[#This Row],[О_2]]</f>
        <v>7</v>
      </c>
      <c r="J114" s="119">
        <f>Цены[[#This Row],[О_1]]</f>
        <v>7</v>
      </c>
      <c r="K114" s="154">
        <f>Цены[[#This Row],[М_1]]</f>
        <v>7</v>
      </c>
      <c r="L114" s="75"/>
      <c r="M114" s="75">
        <f t="shared" si="54"/>
        <v>112</v>
      </c>
      <c r="N114" s="613" t="s">
        <v>1086</v>
      </c>
      <c r="O114" s="583" t="str">
        <f t="shared" si="57"/>
        <v/>
      </c>
      <c r="P114" s="583" t="str">
        <f t="shared" si="50"/>
        <v/>
      </c>
      <c r="Q114" s="617" t="str">
        <f t="shared" si="51"/>
        <v/>
      </c>
      <c r="S114" s="32">
        <f>Цена!A114</f>
        <v>112</v>
      </c>
      <c r="T114" s="62" t="str">
        <f>Цена!C114</f>
        <v>Прем.</v>
      </c>
      <c r="U114" s="97" t="str">
        <f>IF(Бланк!$M$9=T114,HLOOKUP(Бланк!$M$2,Цены[#All],S114,0),"")</f>
        <v/>
      </c>
      <c r="V114" s="32">
        <f t="shared" si="56"/>
        <v>112</v>
      </c>
      <c r="W114" s="10" t="str">
        <f t="shared" si="8"/>
        <v>Прем.</v>
      </c>
      <c r="X114" s="97" t="str">
        <f>IF(Бланк!$M$25=W114,HLOOKUP(Бланк!$M$18,Цены[#All],V114,0),"")</f>
        <v/>
      </c>
      <c r="Z114" s="32">
        <f t="shared" si="55"/>
        <v>112</v>
      </c>
      <c r="AA114" s="10" t="str">
        <f t="shared" si="7"/>
        <v>Прем.</v>
      </c>
      <c r="AB114" s="97" t="str">
        <f>IF(Бланк!$M$41=AA114,HLOOKUP(Бланк!$M$34,Цены[#All],Z114,0),"")</f>
        <v/>
      </c>
    </row>
    <row r="115" spans="1:28" s="39" customFormat="1" ht="15.75">
      <c r="A115" s="39">
        <f t="shared" si="5"/>
        <v>113</v>
      </c>
      <c r="B115" s="117" t="s">
        <v>313</v>
      </c>
      <c r="C115" s="9" t="s">
        <v>309</v>
      </c>
      <c r="D115" s="738" t="s">
        <v>1075</v>
      </c>
      <c r="E115" s="154">
        <v>17</v>
      </c>
      <c r="F115" s="15">
        <f>Цены[[#This Row],[О_1]]</f>
        <v>17</v>
      </c>
      <c r="G115" s="738" t="s">
        <v>1075</v>
      </c>
      <c r="H115" s="15">
        <f>Цены[[#This Row],[О_1]]</f>
        <v>17</v>
      </c>
      <c r="I115" s="15">
        <f>Цены[[#This Row],[О_2]]</f>
        <v>17</v>
      </c>
      <c r="J115" s="119">
        <f>Цены[[#This Row],[М_1]]</f>
        <v>17</v>
      </c>
      <c r="K115" s="154">
        <f>Цены[[#This Row],[М_3]]</f>
        <v>17</v>
      </c>
      <c r="L115" s="587"/>
      <c r="M115" s="75">
        <f t="shared" si="54"/>
        <v>113</v>
      </c>
      <c r="N115" s="613" t="s">
        <v>1086</v>
      </c>
      <c r="O115" s="583" t="str">
        <f t="shared" si="57"/>
        <v/>
      </c>
      <c r="P115" s="583" t="str">
        <f t="shared" si="50"/>
        <v/>
      </c>
      <c r="Q115" s="617" t="str">
        <f t="shared" si="51"/>
        <v/>
      </c>
      <c r="S115" s="32">
        <f>Цена!A115</f>
        <v>113</v>
      </c>
      <c r="T115" s="62" t="str">
        <f>Цена!C115</f>
        <v>ХФ_1</v>
      </c>
      <c r="U115" s="97" t="str">
        <f>IF(Бланк!$M$9=T115,HLOOKUP(Бланк!$M$2,Цены[#All],S115,0),"")</f>
        <v/>
      </c>
      <c r="V115" s="32">
        <f t="shared" si="56"/>
        <v>113</v>
      </c>
      <c r="W115" s="10" t="str">
        <f t="shared" si="8"/>
        <v>ХФ_1</v>
      </c>
      <c r="X115" s="97" t="str">
        <f>IF(Бланк!$M$25=W115,HLOOKUP(Бланк!$M$18,Цены[#All],V115,0),"")</f>
        <v/>
      </c>
      <c r="Z115" s="32">
        <f t="shared" si="55"/>
        <v>113</v>
      </c>
      <c r="AA115" s="10" t="str">
        <f t="shared" si="7"/>
        <v>ХФ_1</v>
      </c>
      <c r="AB115" s="97" t="str">
        <f>IF(Бланк!$M$41=AA115,HLOOKUP(Бланк!$M$34,Цены[#All],Z115,0),"")</f>
        <v/>
      </c>
    </row>
    <row r="116" spans="1:28" s="39" customFormat="1" ht="15.75">
      <c r="A116" s="39">
        <f t="shared" si="5"/>
        <v>114</v>
      </c>
      <c r="B116" s="117"/>
      <c r="C116" s="9" t="s">
        <v>310</v>
      </c>
      <c r="D116" s="738" t="s">
        <v>1075</v>
      </c>
      <c r="E116" s="154">
        <v>27</v>
      </c>
      <c r="F116" s="15">
        <v>26</v>
      </c>
      <c r="G116" s="738" t="s">
        <v>1075</v>
      </c>
      <c r="H116" s="15">
        <v>26</v>
      </c>
      <c r="I116" s="15">
        <v>26</v>
      </c>
      <c r="J116" s="119">
        <v>26</v>
      </c>
      <c r="K116" s="154">
        <v>26</v>
      </c>
      <c r="L116" s="587"/>
      <c r="M116" s="75">
        <f t="shared" si="54"/>
        <v>114</v>
      </c>
      <c r="N116" s="613" t="s">
        <v>1086</v>
      </c>
      <c r="O116" s="583" t="str">
        <f t="shared" si="57"/>
        <v/>
      </c>
      <c r="P116" s="583" t="str">
        <f t="shared" si="50"/>
        <v/>
      </c>
      <c r="Q116" s="617" t="str">
        <f t="shared" si="51"/>
        <v/>
      </c>
      <c r="S116" s="32">
        <f>Цена!A116</f>
        <v>114</v>
      </c>
      <c r="T116" s="62" t="str">
        <f>Цена!C116</f>
        <v>ХФ_2</v>
      </c>
      <c r="U116" s="97" t="str">
        <f>IF(Бланк!$M$9=T116,HLOOKUP(Бланк!$M$2,Цены[#All],S116,0),"")</f>
        <v/>
      </c>
      <c r="V116" s="32">
        <f t="shared" si="56"/>
        <v>114</v>
      </c>
      <c r="W116" s="10" t="str">
        <f t="shared" si="8"/>
        <v>ХФ_2</v>
      </c>
      <c r="X116" s="97" t="str">
        <f>IF(Бланк!$M$25=W116,HLOOKUP(Бланк!$M$18,Цены[#All],V116,0),"")</f>
        <v/>
      </c>
      <c r="Z116" s="32">
        <f t="shared" ref="Z116:Z201" si="63">S116</f>
        <v>114</v>
      </c>
      <c r="AA116" s="10" t="str">
        <f t="shared" si="7"/>
        <v>ХФ_2</v>
      </c>
      <c r="AB116" s="97" t="str">
        <f>IF(Бланк!$M$41=AA116,HLOOKUP(Бланк!$M$34,Цены[#All],Z116,0),"")</f>
        <v/>
      </c>
    </row>
    <row r="117" spans="1:28" s="39" customFormat="1" ht="15.75">
      <c r="A117" s="39">
        <f t="shared" si="5"/>
        <v>115</v>
      </c>
      <c r="B117" s="117"/>
      <c r="C117" s="9" t="s">
        <v>311</v>
      </c>
      <c r="D117" s="738" t="s">
        <v>1075</v>
      </c>
      <c r="E117" s="154">
        <v>38</v>
      </c>
      <c r="F117" s="15">
        <v>37</v>
      </c>
      <c r="G117" s="738" t="s">
        <v>1075</v>
      </c>
      <c r="H117" s="15">
        <v>37</v>
      </c>
      <c r="I117" s="15">
        <v>37</v>
      </c>
      <c r="J117" s="119">
        <v>37</v>
      </c>
      <c r="K117" s="154">
        <v>37</v>
      </c>
      <c r="L117" s="587"/>
      <c r="M117" s="75">
        <f t="shared" si="54"/>
        <v>115</v>
      </c>
      <c r="N117" s="613" t="s">
        <v>1086</v>
      </c>
      <c r="O117" s="583" t="str">
        <f t="shared" si="57"/>
        <v/>
      </c>
      <c r="P117" s="583" t="str">
        <f t="shared" si="50"/>
        <v/>
      </c>
      <c r="Q117" s="617" t="str">
        <f t="shared" si="51"/>
        <v/>
      </c>
      <c r="S117" s="32">
        <f>Цена!A117</f>
        <v>115</v>
      </c>
      <c r="T117" s="62" t="str">
        <f>Цена!C117</f>
        <v>ХФ_3</v>
      </c>
      <c r="U117" s="97" t="str">
        <f>IF(Бланк!$M$9=T117,HLOOKUP(Бланк!$M$2,Цены[#All],S117,0),"")</f>
        <v/>
      </c>
      <c r="V117" s="32">
        <f t="shared" si="56"/>
        <v>115</v>
      </c>
      <c r="W117" s="10" t="str">
        <f t="shared" si="8"/>
        <v>ХФ_3</v>
      </c>
      <c r="X117" s="97" t="str">
        <f>IF(Бланк!$M$25=W117,HLOOKUP(Бланк!$M$18,Цены[#All],V117,0),"")</f>
        <v/>
      </c>
      <c r="Z117" s="32">
        <f t="shared" si="63"/>
        <v>115</v>
      </c>
      <c r="AA117" s="10" t="str">
        <f t="shared" si="7"/>
        <v>ХФ_3</v>
      </c>
      <c r="AB117" s="97" t="str">
        <f>IF(Бланк!$M$41=AA117,HLOOKUP(Бланк!$M$34,Цены[#All],Z117,0),"")</f>
        <v/>
      </c>
    </row>
    <row r="118" spans="1:28" s="39" customFormat="1" ht="15.75">
      <c r="A118" s="39">
        <f t="shared" si="5"/>
        <v>116</v>
      </c>
      <c r="B118" s="116" t="s">
        <v>480</v>
      </c>
      <c r="C118" s="9" t="str">
        <f>Цены[[#This Row],[Столбец1]]</f>
        <v>Пр.штапик</v>
      </c>
      <c r="D118" s="738" t="s">
        <v>1075</v>
      </c>
      <c r="E118" s="425">
        <v>19</v>
      </c>
      <c r="F118" s="15">
        <f>Цены[[#This Row],[О_1]]</f>
        <v>19</v>
      </c>
      <c r="G118" s="738" t="s">
        <v>1075</v>
      </c>
      <c r="H118" s="15">
        <f>Цены[[#This Row],[О_1]]</f>
        <v>19</v>
      </c>
      <c r="I118" s="15">
        <f>Цены[[#This Row],[М_1]]</f>
        <v>19</v>
      </c>
      <c r="J118" s="119">
        <f>Цены[[#This Row],[М_2]]</f>
        <v>19</v>
      </c>
      <c r="K118" s="154">
        <f>Цены[[#This Row],[М_3]]</f>
        <v>19</v>
      </c>
      <c r="L118" s="587"/>
      <c r="M118" s="75">
        <f t="shared" si="54"/>
        <v>116</v>
      </c>
      <c r="N118" s="613" t="s">
        <v>1086</v>
      </c>
      <c r="O118" s="583" t="str">
        <f t="shared" si="57"/>
        <v/>
      </c>
      <c r="P118" s="583" t="str">
        <f t="shared" si="50"/>
        <v/>
      </c>
      <c r="Q118" s="617" t="str">
        <f t="shared" si="51"/>
        <v/>
      </c>
      <c r="S118" s="32">
        <f>Цена!A118</f>
        <v>116</v>
      </c>
      <c r="T118" s="62" t="str">
        <f>Цена!C118</f>
        <v>Пр.штапик</v>
      </c>
      <c r="U118" s="97" t="str">
        <f>IF(Бланк!$M$9=T118,HLOOKUP(Бланк!$M$2,Цены[#All],S118,0),"")</f>
        <v/>
      </c>
      <c r="V118" s="32">
        <f t="shared" si="56"/>
        <v>116</v>
      </c>
      <c r="W118" s="10" t="str">
        <f>T118</f>
        <v>Пр.штапик</v>
      </c>
      <c r="X118" s="97" t="str">
        <f>IF(Бланк!$M$25=W118,HLOOKUP(Бланк!$M$18,Цены[#All],V118,0),"")</f>
        <v/>
      </c>
      <c r="Z118" s="32">
        <f>S118</f>
        <v>116</v>
      </c>
      <c r="AA118" s="10" t="str">
        <f>T118</f>
        <v>Пр.штапик</v>
      </c>
      <c r="AB118" s="97" t="str">
        <f>IF(Бланк!$M$41=AA118,HLOOKUP(Бланк!$M$34,Цены[#All],Z118,0),"")</f>
        <v/>
      </c>
    </row>
    <row r="119" spans="1:28" s="39" customFormat="1" ht="15.75">
      <c r="A119" s="39">
        <f t="shared" si="5"/>
        <v>117</v>
      </c>
      <c r="B119" s="117" t="s">
        <v>3</v>
      </c>
      <c r="C119" s="442" t="s">
        <v>286</v>
      </c>
      <c r="D119" s="738" t="s">
        <v>1075</v>
      </c>
      <c r="E119" s="446"/>
      <c r="F119" s="444"/>
      <c r="G119" s="738" t="s">
        <v>1075</v>
      </c>
      <c r="H119" s="444"/>
      <c r="I119" s="444"/>
      <c r="J119" s="445"/>
      <c r="K119" s="446"/>
      <c r="L119" s="588"/>
      <c r="M119" s="75">
        <f t="shared" si="54"/>
        <v>117</v>
      </c>
      <c r="N119" s="613" t="s">
        <v>1087</v>
      </c>
      <c r="O119" s="583" t="str">
        <f t="shared" si="57"/>
        <v/>
      </c>
      <c r="P119" s="583" t="str">
        <f t="shared" si="50"/>
        <v/>
      </c>
      <c r="Q119" s="617" t="str">
        <f t="shared" si="51"/>
        <v/>
      </c>
      <c r="S119" s="32">
        <f>Цена!A119</f>
        <v>117</v>
      </c>
      <c r="T119" s="422" t="str">
        <f>Цена!C119</f>
        <v>Прост.</v>
      </c>
      <c r="U119" s="97" t="str">
        <f>IF(Бланк!$L$11=T119,HLOOKUP(Бланк!$M$2,Цены[#All],S119,0),"")</f>
        <v/>
      </c>
      <c r="V119" s="32">
        <f t="shared" si="56"/>
        <v>117</v>
      </c>
      <c r="W119" s="10" t="str">
        <f>T119</f>
        <v>Прост.</v>
      </c>
      <c r="X119" s="97" t="str">
        <f>IF(Бланк!$L$27=W119,HLOOKUP(Бланк!$M$18,Цены[#All],V119,0),"")</f>
        <v/>
      </c>
      <c r="Z119" s="32">
        <f>S119</f>
        <v>117</v>
      </c>
      <c r="AA119" s="10" t="str">
        <f>T119</f>
        <v>Прост.</v>
      </c>
      <c r="AB119" s="97">
        <f>IF(Бланк!$L$43=AA119,HLOOKUP(Бланк!$M$34,Цены[#All],Z119,0),"")</f>
        <v>0</v>
      </c>
    </row>
    <row r="120" spans="1:28" ht="15.75">
      <c r="A120" s="39">
        <f t="shared" si="5"/>
        <v>118</v>
      </c>
      <c r="B120" s="117" t="s">
        <v>314</v>
      </c>
      <c r="C120" s="9" t="s">
        <v>285</v>
      </c>
      <c r="D120" s="738" t="s">
        <v>1075</v>
      </c>
      <c r="E120" s="154">
        <f>E114</f>
        <v>7</v>
      </c>
      <c r="F120" s="15">
        <f t="shared" ref="F120:K120" si="64">F114</f>
        <v>7</v>
      </c>
      <c r="G120" s="15" t="str">
        <f t="shared" si="64"/>
        <v>Ошибка</v>
      </c>
      <c r="H120" s="15">
        <f t="shared" si="64"/>
        <v>7</v>
      </c>
      <c r="I120" s="15">
        <f t="shared" si="64"/>
        <v>7</v>
      </c>
      <c r="J120" s="119">
        <f t="shared" si="64"/>
        <v>7</v>
      </c>
      <c r="K120" s="154">
        <f t="shared" si="64"/>
        <v>7</v>
      </c>
      <c r="L120" s="75"/>
      <c r="M120" s="75">
        <f t="shared" si="54"/>
        <v>118</v>
      </c>
      <c r="N120" s="613" t="s">
        <v>1087</v>
      </c>
      <c r="O120" s="583" t="str">
        <f t="shared" si="57"/>
        <v/>
      </c>
      <c r="P120" s="583" t="str">
        <f t="shared" si="50"/>
        <v/>
      </c>
      <c r="Q120" s="617" t="str">
        <f t="shared" si="51"/>
        <v/>
      </c>
      <c r="S120" s="32">
        <f>Цена!A120</f>
        <v>118</v>
      </c>
      <c r="T120" s="62" t="str">
        <f>Цена!C120</f>
        <v>Прем.</v>
      </c>
      <c r="U120" s="97" t="str">
        <f>IF(Бланк!$L$11=T120,HLOOKUP(Бланк!$M$2,Цены[#All],S120,0),"")</f>
        <v/>
      </c>
      <c r="V120" s="32">
        <f t="shared" si="56"/>
        <v>118</v>
      </c>
      <c r="W120" s="10" t="str">
        <f t="shared" si="8"/>
        <v>Прем.</v>
      </c>
      <c r="X120" s="97" t="str">
        <f>IF(Бланк!$L$27=W120,HLOOKUP(Бланк!$M$18,Цены[#All],V120,0),"")</f>
        <v/>
      </c>
      <c r="Z120" s="32">
        <f t="shared" si="63"/>
        <v>118</v>
      </c>
      <c r="AA120" s="10" t="str">
        <f t="shared" ref="AA120:AA206" si="65">T120</f>
        <v>Прем.</v>
      </c>
      <c r="AB120" s="97" t="str">
        <f>IF(Бланк!$L$43=AA120,HLOOKUP(Бланк!$M$34,Цены[#All],Z120,0),"")</f>
        <v/>
      </c>
    </row>
    <row r="121" spans="1:28" ht="15.75">
      <c r="A121" s="39">
        <f t="shared" si="5"/>
        <v>119</v>
      </c>
      <c r="B121" s="117"/>
      <c r="C121" s="9" t="s">
        <v>309</v>
      </c>
      <c r="D121" s="738" t="s">
        <v>1075</v>
      </c>
      <c r="E121" s="154">
        <f>E115</f>
        <v>17</v>
      </c>
      <c r="F121" s="15">
        <f t="shared" ref="F121:K121" si="66">F115</f>
        <v>17</v>
      </c>
      <c r="G121" s="738" t="s">
        <v>1075</v>
      </c>
      <c r="H121" s="15">
        <f t="shared" si="66"/>
        <v>17</v>
      </c>
      <c r="I121" s="15">
        <f t="shared" si="66"/>
        <v>17</v>
      </c>
      <c r="J121" s="119">
        <f t="shared" si="66"/>
        <v>17</v>
      </c>
      <c r="K121" s="154">
        <f t="shared" si="66"/>
        <v>17</v>
      </c>
      <c r="L121" s="587"/>
      <c r="M121" s="75">
        <f t="shared" si="54"/>
        <v>119</v>
      </c>
      <c r="N121" s="613" t="s">
        <v>1087</v>
      </c>
      <c r="O121" s="583" t="str">
        <f t="shared" si="57"/>
        <v/>
      </c>
      <c r="P121" s="583" t="str">
        <f t="shared" si="50"/>
        <v/>
      </c>
      <c r="Q121" s="617" t="str">
        <f t="shared" si="51"/>
        <v/>
      </c>
      <c r="S121" s="32">
        <f>Цена!A121</f>
        <v>119</v>
      </c>
      <c r="T121" s="62" t="str">
        <f>Цена!C121</f>
        <v>ХФ_1</v>
      </c>
      <c r="U121" s="97" t="str">
        <f>IF(Бланк!$L$11=T121,HLOOKUP(Бланк!$M$2,Цены[#All],S121,0),"")</f>
        <v/>
      </c>
      <c r="V121" s="32">
        <f t="shared" si="56"/>
        <v>119</v>
      </c>
      <c r="W121" s="10" t="str">
        <f t="shared" ref="W121:W206" si="67">T121</f>
        <v>ХФ_1</v>
      </c>
      <c r="X121" s="97" t="str">
        <f>IF(Бланк!$L$27=W121,HLOOKUP(Бланк!$M$18,Цены[#All],V121,0),"")</f>
        <v/>
      </c>
      <c r="Z121" s="32">
        <f t="shared" si="63"/>
        <v>119</v>
      </c>
      <c r="AA121" s="10" t="str">
        <f t="shared" si="65"/>
        <v>ХФ_1</v>
      </c>
      <c r="AB121" s="97" t="str">
        <f>IF(Бланк!$L$43=AA121,HLOOKUP(Бланк!$M$34,Цены[#All],Z121,0),"")</f>
        <v/>
      </c>
    </row>
    <row r="122" spans="1:28" ht="15.75">
      <c r="A122" s="39">
        <f t="shared" si="5"/>
        <v>120</v>
      </c>
      <c r="B122" s="117"/>
      <c r="C122" s="9" t="s">
        <v>310</v>
      </c>
      <c r="D122" s="738" t="s">
        <v>1075</v>
      </c>
      <c r="E122" s="154">
        <f t="shared" ref="E122:K122" si="68">E116</f>
        <v>27</v>
      </c>
      <c r="F122" s="15">
        <f t="shared" si="68"/>
        <v>26</v>
      </c>
      <c r="G122" s="738" t="s">
        <v>1075</v>
      </c>
      <c r="H122" s="15">
        <f t="shared" si="68"/>
        <v>26</v>
      </c>
      <c r="I122" s="15">
        <f t="shared" si="68"/>
        <v>26</v>
      </c>
      <c r="J122" s="119">
        <f t="shared" si="68"/>
        <v>26</v>
      </c>
      <c r="K122" s="154">
        <f t="shared" si="68"/>
        <v>26</v>
      </c>
      <c r="L122" s="587"/>
      <c r="M122" s="75">
        <f t="shared" si="54"/>
        <v>120</v>
      </c>
      <c r="N122" s="613" t="s">
        <v>1087</v>
      </c>
      <c r="O122" s="583" t="str">
        <f t="shared" si="57"/>
        <v/>
      </c>
      <c r="P122" s="583" t="str">
        <f t="shared" si="50"/>
        <v/>
      </c>
      <c r="Q122" s="617" t="str">
        <f t="shared" si="51"/>
        <v/>
      </c>
      <c r="S122" s="32">
        <f>Цена!A122</f>
        <v>120</v>
      </c>
      <c r="T122" s="62" t="str">
        <f>Цена!C122</f>
        <v>ХФ_2</v>
      </c>
      <c r="U122" s="97" t="str">
        <f>IF(Бланк!$L$11=T122,HLOOKUP(Бланк!$M$2,Цены[#All],S122,0),"")</f>
        <v/>
      </c>
      <c r="V122" s="32">
        <f t="shared" si="56"/>
        <v>120</v>
      </c>
      <c r="W122" s="10" t="str">
        <f t="shared" si="67"/>
        <v>ХФ_2</v>
      </c>
      <c r="X122" s="97" t="str">
        <f>IF(Бланк!$L$27=W122,HLOOKUP(Бланк!$M$18,Цены[#All],V122,0),"")</f>
        <v/>
      </c>
      <c r="Z122" s="32">
        <f t="shared" si="63"/>
        <v>120</v>
      </c>
      <c r="AA122" s="10" t="str">
        <f t="shared" si="65"/>
        <v>ХФ_2</v>
      </c>
      <c r="AB122" s="97" t="str">
        <f>IF(Бланк!$L$43=AA122,HLOOKUP(Бланк!$M$34,Цены[#All],Z122,0),"")</f>
        <v/>
      </c>
    </row>
    <row r="123" spans="1:28" ht="15.75">
      <c r="A123" s="39">
        <f t="shared" si="5"/>
        <v>121</v>
      </c>
      <c r="B123" s="117"/>
      <c r="C123" s="9" t="s">
        <v>311</v>
      </c>
      <c r="D123" s="738" t="s">
        <v>1075</v>
      </c>
      <c r="E123" s="154">
        <f t="shared" ref="E123:K123" si="69">E117</f>
        <v>38</v>
      </c>
      <c r="F123" s="15">
        <f t="shared" si="69"/>
        <v>37</v>
      </c>
      <c r="G123" s="738" t="s">
        <v>1075</v>
      </c>
      <c r="H123" s="15">
        <f t="shared" si="69"/>
        <v>37</v>
      </c>
      <c r="I123" s="15">
        <f t="shared" si="69"/>
        <v>37</v>
      </c>
      <c r="J123" s="119">
        <f t="shared" si="69"/>
        <v>37</v>
      </c>
      <c r="K123" s="154">
        <f t="shared" si="69"/>
        <v>37</v>
      </c>
      <c r="L123" s="587"/>
      <c r="M123" s="75">
        <f t="shared" si="54"/>
        <v>121</v>
      </c>
      <c r="N123" s="613" t="s">
        <v>1087</v>
      </c>
      <c r="O123" s="583" t="str">
        <f t="shared" si="57"/>
        <v/>
      </c>
      <c r="P123" s="583" t="str">
        <f t="shared" si="50"/>
        <v/>
      </c>
      <c r="Q123" s="617" t="str">
        <f t="shared" si="51"/>
        <v/>
      </c>
      <c r="S123" s="32">
        <f>Цена!A123</f>
        <v>121</v>
      </c>
      <c r="T123" s="62" t="str">
        <f>Цена!C123</f>
        <v>ХФ_3</v>
      </c>
      <c r="U123" s="97" t="str">
        <f>IF(Бланк!$L$11=T123,HLOOKUP(Бланк!$M$2,Цены[#All],S123,0),"")</f>
        <v/>
      </c>
      <c r="V123" s="32">
        <f t="shared" si="56"/>
        <v>121</v>
      </c>
      <c r="W123" s="10" t="str">
        <f t="shared" si="67"/>
        <v>ХФ_3</v>
      </c>
      <c r="X123" s="97" t="str">
        <f>IF(Бланк!$L$27=W123,HLOOKUP(Бланк!$M$18,Цены[#All],V123,0),"")</f>
        <v/>
      </c>
      <c r="Z123" s="32">
        <f t="shared" si="63"/>
        <v>121</v>
      </c>
      <c r="AA123" s="10" t="str">
        <f t="shared" si="65"/>
        <v>ХФ_3</v>
      </c>
      <c r="AB123" s="97" t="str">
        <f>IF(Бланк!$L$43=AA123,HLOOKUP(Бланк!$M$34,Цены[#All],Z123,0),"")</f>
        <v/>
      </c>
    </row>
    <row r="124" spans="1:28" s="39" customFormat="1" ht="15.75">
      <c r="A124" s="39">
        <f t="shared" si="5"/>
        <v>122</v>
      </c>
      <c r="B124" s="116" t="s">
        <v>480</v>
      </c>
      <c r="C124" s="9" t="str">
        <f>Цены[[#This Row],[Столбец1]]</f>
        <v>Пр.штапик</v>
      </c>
      <c r="D124" s="738" t="s">
        <v>1075</v>
      </c>
      <c r="E124" s="154">
        <f>E118</f>
        <v>19</v>
      </c>
      <c r="F124" s="15">
        <f t="shared" ref="F124:K124" si="70">F118</f>
        <v>19</v>
      </c>
      <c r="G124" s="738" t="s">
        <v>1075</v>
      </c>
      <c r="H124" s="15">
        <f t="shared" si="70"/>
        <v>19</v>
      </c>
      <c r="I124" s="15">
        <f t="shared" si="70"/>
        <v>19</v>
      </c>
      <c r="J124" s="119">
        <f t="shared" si="70"/>
        <v>19</v>
      </c>
      <c r="K124" s="154">
        <f t="shared" si="70"/>
        <v>19</v>
      </c>
      <c r="L124" s="587"/>
      <c r="M124" s="75">
        <f t="shared" si="54"/>
        <v>122</v>
      </c>
      <c r="N124" s="613" t="s">
        <v>1087</v>
      </c>
      <c r="O124" s="583" t="str">
        <f t="shared" si="57"/>
        <v/>
      </c>
      <c r="P124" s="583" t="str">
        <f t="shared" si="50"/>
        <v/>
      </c>
      <c r="Q124" s="617" t="str">
        <f t="shared" si="51"/>
        <v/>
      </c>
      <c r="S124" s="32">
        <f>Цена!A124</f>
        <v>122</v>
      </c>
      <c r="T124" s="62" t="str">
        <f>Цена!C124</f>
        <v>Пр.штапик</v>
      </c>
      <c r="U124" s="97" t="str">
        <f>IF(Бланк!$L$11=T124,HLOOKUP(Бланк!$M$2,Цены[#All],S124,0),"")</f>
        <v/>
      </c>
      <c r="V124" s="32">
        <f t="shared" si="56"/>
        <v>122</v>
      </c>
      <c r="W124" s="10" t="str">
        <f>T124</f>
        <v>Пр.штапик</v>
      </c>
      <c r="X124" s="97" t="str">
        <f>IF(Бланк!$L$27=W124,HLOOKUP(Бланк!$M$18,Цены[#All],V124,0),"")</f>
        <v/>
      </c>
      <c r="Z124" s="32">
        <f>S124</f>
        <v>122</v>
      </c>
      <c r="AA124" s="10" t="str">
        <f>T124</f>
        <v>Пр.штапик</v>
      </c>
      <c r="AB124" s="97" t="str">
        <f>IF(Бланк!$L$43=AA124,HLOOKUP(Бланк!$M$34,Цены[#All],Z124,0),"")</f>
        <v/>
      </c>
    </row>
    <row r="125" spans="1:28" ht="15.75">
      <c r="A125" s="39">
        <f t="shared" ref="A125:A188" si="71">A124+1</f>
        <v>123</v>
      </c>
      <c r="B125" s="117" t="s">
        <v>68</v>
      </c>
      <c r="C125" s="9" t="s">
        <v>709</v>
      </c>
      <c r="D125" s="738" t="s">
        <v>1075</v>
      </c>
      <c r="E125" s="154">
        <v>8</v>
      </c>
      <c r="F125" s="15">
        <f>Цены[[#This Row],[О_1]]</f>
        <v>8</v>
      </c>
      <c r="G125" s="738" t="s">
        <v>1075</v>
      </c>
      <c r="H125" s="15">
        <f>Цены[[#This Row],[О_2]]</f>
        <v>8</v>
      </c>
      <c r="I125" s="15">
        <f>Цены[[#This Row],[М_1]]</f>
        <v>8</v>
      </c>
      <c r="J125" s="119">
        <f>Цены[[#This Row],[М_2]]</f>
        <v>8</v>
      </c>
      <c r="K125" s="154">
        <f>Цены[[#This Row],[М_3]]</f>
        <v>8</v>
      </c>
      <c r="L125" s="587"/>
      <c r="M125" s="75">
        <f t="shared" si="54"/>
        <v>123</v>
      </c>
      <c r="N125" s="597" t="str">
        <f>Цены[[#This Row],[Столбец1]]</f>
        <v>наличник</v>
      </c>
      <c r="O125" s="583" t="str">
        <f t="shared" si="57"/>
        <v/>
      </c>
      <c r="P125" s="583" t="str">
        <f t="shared" si="50"/>
        <v/>
      </c>
      <c r="Q125" s="617" t="str">
        <f t="shared" si="51"/>
        <v/>
      </c>
      <c r="S125" s="32">
        <f>Цена!A125</f>
        <v>123</v>
      </c>
      <c r="T125" s="62" t="str">
        <f>Цена!C125</f>
        <v>ЛОГО</v>
      </c>
      <c r="U125" s="97" t="str">
        <f>IF(Бланк!$I$5=T125,HLOOKUP(Бланк!$M$2,Цены[#All],S125,0),"")</f>
        <v/>
      </c>
      <c r="V125" s="32">
        <f t="shared" si="56"/>
        <v>123</v>
      </c>
      <c r="W125" s="10" t="str">
        <f t="shared" si="67"/>
        <v>ЛОГО</v>
      </c>
      <c r="X125" s="97" t="str">
        <f>IF(Бланк!$I$21=W125,HLOOKUP(Бланк!$M$18,Цены[#All],V125,0),"")</f>
        <v/>
      </c>
      <c r="Z125" s="32">
        <f t="shared" si="63"/>
        <v>123</v>
      </c>
      <c r="AA125" s="10" t="str">
        <f t="shared" si="65"/>
        <v>ЛОГО</v>
      </c>
      <c r="AB125" s="97" t="str">
        <f>IF(Бланк!$I$37=AA125,HLOOKUP(Бланк!$M$34,Цены[#All],Z125,0),"")</f>
        <v/>
      </c>
    </row>
    <row r="126" spans="1:28" ht="15.75">
      <c r="A126" s="39">
        <f t="shared" si="71"/>
        <v>124</v>
      </c>
      <c r="B126" s="117"/>
      <c r="C126" s="9" t="s">
        <v>710</v>
      </c>
      <c r="D126" s="738" t="s">
        <v>1075</v>
      </c>
      <c r="E126" s="154">
        <f>E125*2</f>
        <v>16</v>
      </c>
      <c r="F126" s="15">
        <f>Цены[[#This Row],[О_1]]</f>
        <v>16</v>
      </c>
      <c r="G126" s="738" t="s">
        <v>1075</v>
      </c>
      <c r="H126" s="15">
        <f>Цены[[#This Row],[О_2]]</f>
        <v>16</v>
      </c>
      <c r="I126" s="15">
        <f>Цены[[#This Row],[М_1]]</f>
        <v>16</v>
      </c>
      <c r="J126" s="119">
        <f>Цены[[#This Row],[М_1]]</f>
        <v>16</v>
      </c>
      <c r="K126" s="154">
        <f>Цены[[#This Row],[М_2]]</f>
        <v>16</v>
      </c>
      <c r="L126" s="587"/>
      <c r="M126" s="75">
        <f t="shared" si="54"/>
        <v>124</v>
      </c>
      <c r="N126" s="597" t="str">
        <f>N125</f>
        <v>наличник</v>
      </c>
      <c r="O126" s="583" t="str">
        <f t="shared" si="57"/>
        <v/>
      </c>
      <c r="P126" s="583" t="str">
        <f t="shared" si="50"/>
        <v/>
      </c>
      <c r="Q126" s="617" t="str">
        <f t="shared" si="51"/>
        <v/>
      </c>
      <c r="S126" s="32">
        <f>Цена!A126</f>
        <v>124</v>
      </c>
      <c r="T126" s="63" t="str">
        <f>Цена!C126</f>
        <v>ЛОГО+</v>
      </c>
      <c r="U126" s="97" t="str">
        <f>IF(Бланк!$I$5=T126,HLOOKUP(Бланк!$M$2,Цены[#All],S126,0),"")</f>
        <v/>
      </c>
      <c r="V126" s="32">
        <f t="shared" si="56"/>
        <v>124</v>
      </c>
      <c r="W126" s="10" t="str">
        <f t="shared" si="67"/>
        <v>ЛОГО+</v>
      </c>
      <c r="X126" s="97" t="str">
        <f>IF(Бланк!$I$21=W126,HLOOKUP(Бланк!$M$18,Цены[#All],V126,0),"")</f>
        <v/>
      </c>
      <c r="Z126" s="32">
        <f t="shared" si="63"/>
        <v>124</v>
      </c>
      <c r="AA126" s="10" t="str">
        <f t="shared" si="65"/>
        <v>ЛОГО+</v>
      </c>
      <c r="AB126" s="97" t="str">
        <f>IF(Бланк!$I$37=AA126,HLOOKUP(Бланк!$M$34,Цены[#All],Z126,0),"")</f>
        <v/>
      </c>
    </row>
    <row r="127" spans="1:28" s="39" customFormat="1" ht="15.75">
      <c r="A127" s="39">
        <f t="shared" si="71"/>
        <v>125</v>
      </c>
      <c r="B127" s="744" t="s">
        <v>713</v>
      </c>
      <c r="C127" s="747" t="s">
        <v>711</v>
      </c>
      <c r="D127" s="738" t="s">
        <v>1075</v>
      </c>
      <c r="E127" s="165" t="s">
        <v>1075</v>
      </c>
      <c r="F127" s="15"/>
      <c r="G127" s="738" t="s">
        <v>1075</v>
      </c>
      <c r="H127" s="15" t="s">
        <v>1075</v>
      </c>
      <c r="I127" s="738" t="s">
        <v>1075</v>
      </c>
      <c r="J127" s="119"/>
      <c r="K127" s="154"/>
      <c r="L127" s="589"/>
      <c r="M127" s="75">
        <f t="shared" si="54"/>
        <v>125</v>
      </c>
      <c r="N127" s="614" t="s">
        <v>714</v>
      </c>
      <c r="O127" s="583" t="str">
        <f t="shared" si="57"/>
        <v/>
      </c>
      <c r="P127" s="583" t="str">
        <f t="shared" si="50"/>
        <v/>
      </c>
      <c r="Q127" s="617" t="str">
        <f t="shared" si="51"/>
        <v/>
      </c>
      <c r="S127" s="32">
        <f>Цена!A127</f>
        <v>125</v>
      </c>
      <c r="T127" s="63" t="str">
        <f>Цена!C127</f>
        <v>Капелла</v>
      </c>
      <c r="U127" s="97"/>
      <c r="V127" s="32">
        <f t="shared" si="56"/>
        <v>125</v>
      </c>
      <c r="W127" s="10" t="str">
        <f t="shared" si="67"/>
        <v>Капелла</v>
      </c>
      <c r="X127" s="97"/>
      <c r="Z127" s="32">
        <f t="shared" si="63"/>
        <v>125</v>
      </c>
      <c r="AA127" s="10" t="str">
        <f t="shared" si="65"/>
        <v>Капелла</v>
      </c>
      <c r="AB127" s="97"/>
    </row>
    <row r="128" spans="1:28" s="39" customFormat="1" ht="15.75">
      <c r="A128" s="39">
        <f t="shared" si="71"/>
        <v>126</v>
      </c>
      <c r="B128" s="570" t="s">
        <v>715</v>
      </c>
      <c r="C128" s="419" t="str">
        <f>Профдекор[[#Headers],[ПВХ_Стандарт]]</f>
        <v>ПВХ_Стандарт</v>
      </c>
      <c r="D128" s="571" t="s">
        <v>1075</v>
      </c>
      <c r="E128" s="572" t="s">
        <v>1075</v>
      </c>
      <c r="F128" s="571">
        <v>14</v>
      </c>
      <c r="G128" s="571" t="s">
        <v>1075</v>
      </c>
      <c r="H128" s="380" t="s">
        <v>1075</v>
      </c>
      <c r="I128" s="571" t="s">
        <v>1075</v>
      </c>
      <c r="J128" s="420">
        <v>14</v>
      </c>
      <c r="K128" s="572">
        <v>14</v>
      </c>
      <c r="L128" s="587"/>
      <c r="M128" s="75">
        <f t="shared" si="54"/>
        <v>126</v>
      </c>
      <c r="N128" s="614" t="s">
        <v>714</v>
      </c>
      <c r="O128" s="583" t="str">
        <f t="shared" si="57"/>
        <v/>
      </c>
      <c r="P128" s="583" t="str">
        <f t="shared" si="50"/>
        <v/>
      </c>
      <c r="Q128" s="617" t="str">
        <f t="shared" si="51"/>
        <v/>
      </c>
      <c r="S128" s="32">
        <f>Цена!A128</f>
        <v>126</v>
      </c>
      <c r="T128" s="63" t="str">
        <f>Цена!C128</f>
        <v>ПВХ_Стандарт</v>
      </c>
      <c r="U128" s="97" t="str">
        <f>IF(Бланк!$H$5=$T$127,('Плёнка ПДТ'!E12+'Плёнка ПДТ'!D16*1.5)*3,"")</f>
        <v/>
      </c>
      <c r="V128" s="32">
        <f t="shared" si="56"/>
        <v>126</v>
      </c>
      <c r="W128" s="10" t="str">
        <f t="shared" si="67"/>
        <v>ПВХ_Стандарт</v>
      </c>
      <c r="X128" s="97" t="str">
        <f>IF(Бланк!$H$21=$W$127,('Плёнка ПДТ'!J12+'Плёнка ПДТ'!D16*1.5)*3,"")</f>
        <v/>
      </c>
      <c r="Z128" s="32">
        <f t="shared" si="63"/>
        <v>126</v>
      </c>
      <c r="AA128" s="10" t="str">
        <f t="shared" si="65"/>
        <v>ПВХ_Стандарт</v>
      </c>
      <c r="AB128" s="97" t="str">
        <f>IF(Бланк!$H$37=$AA$127,('Плёнка ПДТ'!O12+'Плёнка ПДТ'!D16*1.5)*3,"")</f>
        <v/>
      </c>
    </row>
    <row r="129" spans="1:28" s="39" customFormat="1" ht="15.75">
      <c r="A129" s="39">
        <f t="shared" si="71"/>
        <v>127</v>
      </c>
      <c r="B129" s="570" t="s">
        <v>714</v>
      </c>
      <c r="C129" s="419"/>
      <c r="D129" s="571"/>
      <c r="E129" s="572"/>
      <c r="F129" s="571"/>
      <c r="G129" s="571"/>
      <c r="H129" s="380"/>
      <c r="I129" s="571"/>
      <c r="J129" s="420"/>
      <c r="K129" s="572"/>
      <c r="L129" s="587"/>
      <c r="M129" s="75">
        <f t="shared" si="54"/>
        <v>127</v>
      </c>
      <c r="N129" s="614" t="s">
        <v>714</v>
      </c>
      <c r="O129" s="583" t="str">
        <f t="shared" si="57"/>
        <v/>
      </c>
      <c r="P129" s="583" t="str">
        <f t="shared" si="50"/>
        <v/>
      </c>
      <c r="Q129" s="617" t="str">
        <f t="shared" si="51"/>
        <v/>
      </c>
      <c r="S129" s="32">
        <f>Цена!A129</f>
        <v>127</v>
      </c>
      <c r="T129" s="63">
        <f>Цена!C129</f>
        <v>0</v>
      </c>
      <c r="U129" s="97" t="str">
        <f>IF(AND(Бланк!$H$5=$T$127,Бланк!$F$10=T129),HLOOKUP(Бланк!$M$2,Цены[#All],S129,0),"")</f>
        <v/>
      </c>
      <c r="V129" s="32">
        <f t="shared" si="56"/>
        <v>127</v>
      </c>
      <c r="W129" s="10">
        <f t="shared" si="67"/>
        <v>0</v>
      </c>
      <c r="X129" s="97" t="str">
        <f>IF(AND(Бланк!$H$21=$W$127,Бланк!$F$26=W129),HLOOKUP(Бланк!$M$18,Цены[#All],V129,0),"")</f>
        <v/>
      </c>
      <c r="Z129" s="32">
        <f t="shared" si="63"/>
        <v>127</v>
      </c>
      <c r="AA129" s="10">
        <f t="shared" si="65"/>
        <v>0</v>
      </c>
      <c r="AB129" s="97" t="str">
        <f>IF(AND(Бланк!$H$37=$AA$127,Бланк!$F$42=AA129),HLOOKUP(Бланк!$M$34,Цены[#All],Z129,0),"")</f>
        <v/>
      </c>
    </row>
    <row r="130" spans="1:28" s="39" customFormat="1" ht="15.75">
      <c r="A130" s="39">
        <f t="shared" si="71"/>
        <v>128</v>
      </c>
      <c r="B130" s="570"/>
      <c r="C130" s="419"/>
      <c r="D130" s="571"/>
      <c r="E130" s="572"/>
      <c r="F130" s="571"/>
      <c r="G130" s="571"/>
      <c r="H130" s="380"/>
      <c r="I130" s="571"/>
      <c r="J130" s="420"/>
      <c r="K130" s="572"/>
      <c r="L130" s="587"/>
      <c r="M130" s="75">
        <f t="shared" si="54"/>
        <v>128</v>
      </c>
      <c r="N130" s="614" t="s">
        <v>714</v>
      </c>
      <c r="O130" s="583" t="str">
        <f t="shared" si="57"/>
        <v/>
      </c>
      <c r="P130" s="583" t="str">
        <f t="shared" si="50"/>
        <v/>
      </c>
      <c r="Q130" s="617" t="str">
        <f t="shared" si="51"/>
        <v/>
      </c>
      <c r="S130" s="32">
        <f>Цена!A130</f>
        <v>128</v>
      </c>
      <c r="T130" s="63">
        <f>Цена!C130</f>
        <v>0</v>
      </c>
      <c r="U130" s="97" t="str">
        <f>IF(AND(Бланк!$H$5=$T$127,Бланк!$F$10=T130),HLOOKUP(Бланк!$M$2,Цены[#All],S130,0),"")</f>
        <v/>
      </c>
      <c r="V130" s="32">
        <f t="shared" ref="V130:V158" si="72">A130</f>
        <v>128</v>
      </c>
      <c r="W130" s="10">
        <f t="shared" si="67"/>
        <v>0</v>
      </c>
      <c r="X130" s="97" t="str">
        <f>IF(AND(Бланк!$H$21=$W$127,Бланк!$F$26=W130),HLOOKUP(Бланк!$M$18,Цены[#All],V130,0),"")</f>
        <v/>
      </c>
      <c r="Z130" s="32">
        <f t="shared" si="63"/>
        <v>128</v>
      </c>
      <c r="AA130" s="10">
        <f t="shared" si="65"/>
        <v>0</v>
      </c>
      <c r="AB130" s="97" t="str">
        <f>IF(AND(Бланк!$H$37=$AA$127,Бланк!$F$42=AA130),HLOOKUP(Бланк!$M$34,Цены[#All],Z130,0),"")</f>
        <v/>
      </c>
    </row>
    <row r="131" spans="1:28" s="39" customFormat="1" ht="15.75">
      <c r="A131" s="39">
        <f t="shared" si="71"/>
        <v>129</v>
      </c>
      <c r="B131" s="570"/>
      <c r="C131" s="419"/>
      <c r="D131" s="571"/>
      <c r="E131" s="572"/>
      <c r="F131" s="571"/>
      <c r="G131" s="571"/>
      <c r="H131" s="380"/>
      <c r="I131" s="571"/>
      <c r="J131" s="420"/>
      <c r="K131" s="572"/>
      <c r="L131" s="587"/>
      <c r="M131" s="75">
        <f t="shared" si="54"/>
        <v>129</v>
      </c>
      <c r="N131" s="614" t="s">
        <v>714</v>
      </c>
      <c r="O131" s="583" t="str">
        <f t="shared" ref="O131:O150" si="73">IF(U131=$V$1,"Ошибка-1","")</f>
        <v/>
      </c>
      <c r="P131" s="583" t="str">
        <f t="shared" si="50"/>
        <v/>
      </c>
      <c r="Q131" s="617" t="str">
        <f t="shared" si="51"/>
        <v/>
      </c>
      <c r="S131" s="32">
        <f>Цена!A131</f>
        <v>129</v>
      </c>
      <c r="T131" s="63">
        <f>Цена!C131</f>
        <v>0</v>
      </c>
      <c r="U131" s="97" t="str">
        <f>IF(AND(Бланк!$H$5=$T$127,Бланк!$F$10=T131),HLOOKUP(Бланк!$M$2,Цены[#All],S131,0),"")</f>
        <v/>
      </c>
      <c r="V131" s="32">
        <f t="shared" si="72"/>
        <v>129</v>
      </c>
      <c r="W131" s="10">
        <f t="shared" si="67"/>
        <v>0</v>
      </c>
      <c r="X131" s="97" t="str">
        <f>IF(AND(Бланк!$H$21="Капелла",Бланк!$F$26=W131),HLOOKUP(Бланк!$M$18,Цены[#All],V131,0),"")</f>
        <v/>
      </c>
      <c r="Z131" s="32">
        <f t="shared" si="63"/>
        <v>129</v>
      </c>
      <c r="AA131" s="10">
        <f t="shared" si="65"/>
        <v>0</v>
      </c>
      <c r="AB131" s="97" t="str">
        <f>IF(AND(Бланк!$H$37=$AA$127,Бланк!$F$42=AA131),HLOOKUP(Бланк!$M$34,Цены[#All],Z131,0),"")</f>
        <v/>
      </c>
    </row>
    <row r="132" spans="1:28" s="39" customFormat="1" ht="15.75">
      <c r="A132" s="39">
        <f t="shared" si="71"/>
        <v>130</v>
      </c>
      <c r="B132" s="570"/>
      <c r="C132" s="419"/>
      <c r="D132" s="571"/>
      <c r="E132" s="572"/>
      <c r="F132" s="571"/>
      <c r="G132" s="571"/>
      <c r="H132" s="380"/>
      <c r="I132" s="571"/>
      <c r="J132" s="420"/>
      <c r="K132" s="572"/>
      <c r="L132" s="587"/>
      <c r="M132" s="75">
        <f t="shared" si="54"/>
        <v>130</v>
      </c>
      <c r="N132" s="614" t="s">
        <v>714</v>
      </c>
      <c r="O132" s="583" t="str">
        <f t="shared" si="73"/>
        <v/>
      </c>
      <c r="P132" s="583" t="str">
        <f t="shared" si="50"/>
        <v/>
      </c>
      <c r="Q132" s="617" t="str">
        <f t="shared" si="51"/>
        <v/>
      </c>
      <c r="S132" s="32">
        <f>Цена!A132</f>
        <v>130</v>
      </c>
      <c r="T132" s="63">
        <f>Цена!C132</f>
        <v>0</v>
      </c>
      <c r="U132" s="97" t="str">
        <f>IF(AND(Бланк!$H$5=$T$127,Бланк!$F$10=T132),HLOOKUP(Бланк!$M$2,Цены[#All],S132,0),"")</f>
        <v/>
      </c>
      <c r="V132" s="32">
        <f t="shared" si="72"/>
        <v>130</v>
      </c>
      <c r="W132" s="10">
        <f t="shared" si="67"/>
        <v>0</v>
      </c>
      <c r="X132" s="97" t="str">
        <f>IF(AND(Бланк!$H$21=$W$127,Бланк!$F$26=W132),HLOOKUP(Бланк!$M$18,Цены[#All],V132,0),"")</f>
        <v/>
      </c>
      <c r="Z132" s="32">
        <f t="shared" si="63"/>
        <v>130</v>
      </c>
      <c r="AA132" s="10">
        <f t="shared" si="65"/>
        <v>0</v>
      </c>
      <c r="AB132" s="97" t="str">
        <f>IF(AND(Бланк!$H$37=$AA$127,Бланк!$F$42=AA132),HLOOKUP(Бланк!$M$34,Цены[#All],Z132,0),"")</f>
        <v/>
      </c>
    </row>
    <row r="133" spans="1:28" s="39" customFormat="1" ht="15.75">
      <c r="A133" s="39">
        <f t="shared" si="71"/>
        <v>131</v>
      </c>
      <c r="B133" s="570"/>
      <c r="C133" s="419"/>
      <c r="D133" s="571"/>
      <c r="E133" s="572"/>
      <c r="F133" s="571"/>
      <c r="G133" s="571"/>
      <c r="H133" s="380"/>
      <c r="I133" s="571"/>
      <c r="J133" s="420"/>
      <c r="K133" s="572"/>
      <c r="L133" s="587"/>
      <c r="M133" s="75">
        <f t="shared" si="54"/>
        <v>131</v>
      </c>
      <c r="N133" s="614" t="s">
        <v>714</v>
      </c>
      <c r="O133" s="583" t="str">
        <f t="shared" si="73"/>
        <v/>
      </c>
      <c r="P133" s="583" t="str">
        <f t="shared" si="50"/>
        <v/>
      </c>
      <c r="Q133" s="617" t="str">
        <f t="shared" si="51"/>
        <v/>
      </c>
      <c r="S133" s="32">
        <f>Цена!A133</f>
        <v>131</v>
      </c>
      <c r="T133" s="63">
        <f>Цена!C133</f>
        <v>0</v>
      </c>
      <c r="U133" s="97" t="str">
        <f>IF(AND(Бланк!$H$5=$T$127,Бланк!$P$10=T133),HLOOKUP(Бланк!$M$2,Цены[#All],S133,0),"")</f>
        <v/>
      </c>
      <c r="V133" s="32">
        <f t="shared" si="72"/>
        <v>131</v>
      </c>
      <c r="W133" s="10">
        <f t="shared" si="67"/>
        <v>0</v>
      </c>
      <c r="X133" s="97" t="str">
        <f>IF(AND(Бланк!$H$21=$W$127,Бланк!P26=W133),HLOOKUP(Бланк!$M$18,Цены[#All],V133,0),"")</f>
        <v/>
      </c>
      <c r="Z133" s="32">
        <f t="shared" si="63"/>
        <v>131</v>
      </c>
      <c r="AA133" s="10">
        <f t="shared" si="65"/>
        <v>0</v>
      </c>
      <c r="AB133" s="97" t="str">
        <f>IF(AND(Бланк!$H$37=$AA$127,Бланк!P42=AA133),HLOOKUP(Бланк!$M$34,Цены[#All],Z133,0),"")</f>
        <v/>
      </c>
    </row>
    <row r="134" spans="1:28" s="39" customFormat="1" ht="15.75">
      <c r="A134" s="39">
        <f t="shared" si="71"/>
        <v>132</v>
      </c>
      <c r="B134" s="745" t="s">
        <v>717</v>
      </c>
      <c r="C134" s="746" t="str">
        <f>Профдекор[[#Headers],[Структурная]]</f>
        <v>Структурная</v>
      </c>
      <c r="D134" s="710" t="s">
        <v>1075</v>
      </c>
      <c r="E134" s="750" t="s">
        <v>1075</v>
      </c>
      <c r="F134" s="710">
        <v>14</v>
      </c>
      <c r="G134" s="710" t="s">
        <v>1075</v>
      </c>
      <c r="H134" s="580" t="s">
        <v>1075</v>
      </c>
      <c r="I134" s="710" t="s">
        <v>1075</v>
      </c>
      <c r="J134" s="605">
        <v>14</v>
      </c>
      <c r="K134" s="750">
        <v>14</v>
      </c>
      <c r="L134" s="587"/>
      <c r="M134" s="75">
        <f t="shared" si="54"/>
        <v>132</v>
      </c>
      <c r="N134" s="614" t="s">
        <v>714</v>
      </c>
      <c r="O134" s="583" t="str">
        <f t="shared" si="73"/>
        <v/>
      </c>
      <c r="P134" s="583" t="str">
        <f t="shared" si="50"/>
        <v/>
      </c>
      <c r="Q134" s="617" t="str">
        <f t="shared" si="51"/>
        <v/>
      </c>
      <c r="S134" s="32">
        <f>Цена!A134</f>
        <v>132</v>
      </c>
      <c r="T134" s="63" t="str">
        <f>Цена!C134</f>
        <v>Структурная</v>
      </c>
      <c r="U134" s="97"/>
      <c r="V134" s="32">
        <f t="shared" si="72"/>
        <v>132</v>
      </c>
      <c r="W134" s="10" t="str">
        <f t="shared" si="67"/>
        <v>Структурная</v>
      </c>
      <c r="X134" s="97"/>
      <c r="Z134" s="32">
        <f t="shared" si="63"/>
        <v>132</v>
      </c>
      <c r="AA134" s="10" t="str">
        <f t="shared" si="65"/>
        <v>Структурная</v>
      </c>
      <c r="AB134" s="97"/>
    </row>
    <row r="135" spans="1:28" s="39" customFormat="1" ht="15.75">
      <c r="A135" s="39">
        <f t="shared" si="71"/>
        <v>133</v>
      </c>
      <c r="B135" s="745" t="s">
        <v>716</v>
      </c>
      <c r="C135" s="746" t="str">
        <f>Профдекор[[#Headers],[Грунтовка щита МДФ]]</f>
        <v>Грунтовка щита МДФ</v>
      </c>
      <c r="D135" s="710" t="s">
        <v>1075</v>
      </c>
      <c r="E135" s="750" t="s">
        <v>1075</v>
      </c>
      <c r="F135" s="710">
        <v>14</v>
      </c>
      <c r="G135" s="710" t="s">
        <v>1075</v>
      </c>
      <c r="H135" s="580" t="s">
        <v>1075</v>
      </c>
      <c r="I135" s="710" t="s">
        <v>1075</v>
      </c>
      <c r="J135" s="605">
        <v>14</v>
      </c>
      <c r="K135" s="750">
        <v>14</v>
      </c>
      <c r="L135" s="587"/>
      <c r="M135" s="75">
        <f t="shared" si="54"/>
        <v>133</v>
      </c>
      <c r="N135" s="614" t="s">
        <v>714</v>
      </c>
      <c r="O135" s="583" t="str">
        <f t="shared" si="73"/>
        <v/>
      </c>
      <c r="P135" s="583" t="str">
        <f t="shared" si="50"/>
        <v/>
      </c>
      <c r="Q135" s="617" t="str">
        <f t="shared" si="51"/>
        <v/>
      </c>
      <c r="S135" s="32">
        <f>Цена!A135</f>
        <v>133</v>
      </c>
      <c r="T135" s="63" t="str">
        <f>Цена!C135</f>
        <v>Грунтовка щита МДФ</v>
      </c>
      <c r="U135" s="97"/>
      <c r="V135" s="32">
        <f t="shared" si="72"/>
        <v>133</v>
      </c>
      <c r="W135" s="10" t="str">
        <f t="shared" si="67"/>
        <v>Грунтовка щита МДФ</v>
      </c>
      <c r="X135" s="97"/>
      <c r="Z135" s="32">
        <f t="shared" si="63"/>
        <v>133</v>
      </c>
      <c r="AA135" s="10" t="str">
        <f t="shared" si="65"/>
        <v>Грунтовка щита МДФ</v>
      </c>
      <c r="AB135" s="97"/>
    </row>
    <row r="136" spans="1:28" s="39" customFormat="1" ht="15.75">
      <c r="A136" s="39">
        <f t="shared" si="71"/>
        <v>134</v>
      </c>
      <c r="B136" s="570"/>
      <c r="C136" s="748" t="s">
        <v>712</v>
      </c>
      <c r="D136" s="571" t="s">
        <v>1075</v>
      </c>
      <c r="E136" s="572" t="s">
        <v>1075</v>
      </c>
      <c r="F136" s="571"/>
      <c r="G136" s="571" t="s">
        <v>1075</v>
      </c>
      <c r="H136" s="380" t="s">
        <v>1075</v>
      </c>
      <c r="I136" s="571" t="s">
        <v>1075</v>
      </c>
      <c r="J136" s="420"/>
      <c r="K136" s="572"/>
      <c r="L136" s="589"/>
      <c r="M136" s="75">
        <f t="shared" si="54"/>
        <v>134</v>
      </c>
      <c r="N136" s="614" t="s">
        <v>714</v>
      </c>
      <c r="O136" s="583" t="str">
        <f t="shared" si="73"/>
        <v/>
      </c>
      <c r="P136" s="583" t="str">
        <f t="shared" si="50"/>
        <v/>
      </c>
      <c r="Q136" s="617" t="str">
        <f t="shared" si="51"/>
        <v/>
      </c>
      <c r="S136" s="32">
        <f>Цена!A136</f>
        <v>134</v>
      </c>
      <c r="T136" s="63" t="str">
        <f>Цена!C136</f>
        <v>Найс</v>
      </c>
      <c r="U136" s="97" t="str">
        <f>IF(Бланк!H5=T136,HLOOKUP(Бланк!$M$2,Цены[#All],S136,0),"")</f>
        <v/>
      </c>
      <c r="V136" s="32">
        <f t="shared" si="72"/>
        <v>134</v>
      </c>
      <c r="W136" s="10" t="str">
        <f t="shared" ref="W136:W144" si="74">T136</f>
        <v>Найс</v>
      </c>
      <c r="X136" s="97" t="str">
        <f>IF(AND(Бланк!$H$21=$W$127,Бланк!$F$26=W136),HLOOKUP(Бланк!$M$18,Цены[#All],V136,0),"")</f>
        <v/>
      </c>
      <c r="Z136" s="32">
        <f t="shared" ref="Z136:Z146" si="75">S136</f>
        <v>134</v>
      </c>
      <c r="AA136" s="10" t="str">
        <f t="shared" ref="AA136:AA144" si="76">T136</f>
        <v>Найс</v>
      </c>
      <c r="AB136" s="97"/>
    </row>
    <row r="137" spans="1:28" s="39" customFormat="1" ht="15.75">
      <c r="A137" s="39">
        <f t="shared" si="71"/>
        <v>135</v>
      </c>
      <c r="B137" s="570"/>
      <c r="C137" s="419" t="str">
        <f>Профдекор[[#Headers],[ПВХ_Стандарт]]</f>
        <v>ПВХ_Стандарт</v>
      </c>
      <c r="D137" s="571" t="s">
        <v>1075</v>
      </c>
      <c r="E137" s="572" t="s">
        <v>1075</v>
      </c>
      <c r="F137" s="571" t="s">
        <v>1075</v>
      </c>
      <c r="G137" s="571" t="s">
        <v>1075</v>
      </c>
      <c r="H137" s="380" t="s">
        <v>1075</v>
      </c>
      <c r="I137" s="571" t="s">
        <v>1075</v>
      </c>
      <c r="J137" s="420" t="s">
        <v>1075</v>
      </c>
      <c r="K137" s="572"/>
      <c r="L137" s="589"/>
      <c r="M137" s="75">
        <f t="shared" si="54"/>
        <v>135</v>
      </c>
      <c r="N137" s="614" t="s">
        <v>714</v>
      </c>
      <c r="O137" s="583" t="str">
        <f t="shared" si="73"/>
        <v/>
      </c>
      <c r="P137" s="583" t="str">
        <f t="shared" si="50"/>
        <v/>
      </c>
      <c r="Q137" s="617" t="str">
        <f t="shared" si="51"/>
        <v/>
      </c>
      <c r="S137" s="32">
        <f>Цена!A137</f>
        <v>135</v>
      </c>
      <c r="T137" s="63" t="str">
        <f>Цена!C137</f>
        <v>ПВХ_Стандарт</v>
      </c>
      <c r="U137" s="97" t="str">
        <f>IF(AND(Бланк!$H$5=$T$136,Бланк!$F$10=T137),HLOOKUP(Бланк!$M$2,Цены[#All],S137,0),"")</f>
        <v/>
      </c>
      <c r="V137" s="32">
        <f t="shared" si="72"/>
        <v>135</v>
      </c>
      <c r="W137" s="10" t="str">
        <f t="shared" si="74"/>
        <v>ПВХ_Стандарт</v>
      </c>
      <c r="X137" s="97" t="str">
        <f>IF(AND(Бланк!$H$21=$W$136,Бланк!$F$26=W137),HLOOKUP(Бланк!$M$18,Цены[#All],V137,0),"")</f>
        <v/>
      </c>
      <c r="Z137" s="32">
        <f t="shared" si="75"/>
        <v>135</v>
      </c>
      <c r="AA137" s="10" t="str">
        <f t="shared" si="76"/>
        <v>ПВХ_Стандарт</v>
      </c>
      <c r="AB137" s="97" t="str">
        <f>IF(AND(Бланк!$H$37=$AA$136,Бланк!$F$42=AA137),HLOOKUP(Бланк!$M$34,Цены[#All],Z137,0),"")</f>
        <v/>
      </c>
    </row>
    <row r="138" spans="1:28" s="39" customFormat="1" ht="15.75">
      <c r="A138" s="39">
        <f t="shared" si="71"/>
        <v>136</v>
      </c>
      <c r="B138" s="570"/>
      <c r="C138" s="419" t="str">
        <f>Профдекор[[#Headers],[ПВХ_DE]]</f>
        <v>ПВХ_DE</v>
      </c>
      <c r="D138" s="571" t="s">
        <v>1075</v>
      </c>
      <c r="E138" s="572" t="s">
        <v>1075</v>
      </c>
      <c r="F138" s="571" t="s">
        <v>1075</v>
      </c>
      <c r="G138" s="571" t="s">
        <v>1075</v>
      </c>
      <c r="H138" s="380" t="s">
        <v>1075</v>
      </c>
      <c r="I138" s="571" t="s">
        <v>1075</v>
      </c>
      <c r="J138" s="420" t="s">
        <v>1075</v>
      </c>
      <c r="K138" s="572"/>
      <c r="L138" s="589"/>
      <c r="M138" s="75">
        <f t="shared" si="54"/>
        <v>136</v>
      </c>
      <c r="N138" s="614" t="s">
        <v>714</v>
      </c>
      <c r="O138" s="583" t="str">
        <f t="shared" si="73"/>
        <v/>
      </c>
      <c r="P138" s="583" t="str">
        <f t="shared" si="50"/>
        <v/>
      </c>
      <c r="Q138" s="617" t="str">
        <f t="shared" si="51"/>
        <v/>
      </c>
      <c r="S138" s="32">
        <f>Цена!A138</f>
        <v>136</v>
      </c>
      <c r="T138" s="63" t="str">
        <f>Цена!C138</f>
        <v>ПВХ_DE</v>
      </c>
      <c r="U138" s="97" t="str">
        <f>IF(AND(Бланк!$H$5=$T$136,Бланк!$F$10=T138),HLOOKUP(Бланк!$M$2,Цены[#All],S138,0),"")</f>
        <v/>
      </c>
      <c r="V138" s="32">
        <f t="shared" si="72"/>
        <v>136</v>
      </c>
      <c r="W138" s="10" t="str">
        <f t="shared" si="74"/>
        <v>ПВХ_DE</v>
      </c>
      <c r="X138" s="97" t="str">
        <f>IF(AND(Бланк!$H$21=$W$136,Бланк!$F$26=W138),HLOOKUP(Бланк!$M$18,Цены[#All],V138,0),"")</f>
        <v/>
      </c>
      <c r="Z138" s="32">
        <f t="shared" si="75"/>
        <v>136</v>
      </c>
      <c r="AA138" s="10" t="str">
        <f t="shared" si="76"/>
        <v>ПВХ_DE</v>
      </c>
      <c r="AB138" s="97" t="str">
        <f>IF(AND(Бланк!$H$37=$AA$136,Бланк!$F$42=AA138),HLOOKUP(Бланк!$M$34,Цены[#All],Z138,0),"")</f>
        <v/>
      </c>
    </row>
    <row r="139" spans="1:28" s="39" customFormat="1" ht="15.75">
      <c r="A139" s="39">
        <f t="shared" si="71"/>
        <v>137</v>
      </c>
      <c r="B139" s="570"/>
      <c r="C139" s="419" t="str">
        <f>Профдекор[[#Headers],[ПВХ_G]]</f>
        <v>ПВХ_G</v>
      </c>
      <c r="D139" s="571" t="s">
        <v>1075</v>
      </c>
      <c r="E139" s="572" t="s">
        <v>1075</v>
      </c>
      <c r="F139" s="571" t="s">
        <v>1075</v>
      </c>
      <c r="G139" s="571" t="s">
        <v>1075</v>
      </c>
      <c r="H139" s="380" t="s">
        <v>1075</v>
      </c>
      <c r="I139" s="571" t="s">
        <v>1075</v>
      </c>
      <c r="J139" s="420" t="s">
        <v>1075</v>
      </c>
      <c r="K139" s="572"/>
      <c r="L139" s="589"/>
      <c r="M139" s="75">
        <f t="shared" si="54"/>
        <v>137</v>
      </c>
      <c r="N139" s="614" t="s">
        <v>714</v>
      </c>
      <c r="O139" s="583" t="str">
        <f t="shared" si="73"/>
        <v/>
      </c>
      <c r="P139" s="583" t="str">
        <f t="shared" si="50"/>
        <v/>
      </c>
      <c r="Q139" s="617" t="str">
        <f t="shared" si="51"/>
        <v/>
      </c>
      <c r="S139" s="32">
        <f>Цена!A139</f>
        <v>137</v>
      </c>
      <c r="T139" s="63" t="str">
        <f>Цена!C139</f>
        <v>ПВХ_G</v>
      </c>
      <c r="U139" s="97" t="str">
        <f>IF(AND(Бланк!$H$5=$T$136,Бланк!$F$10=T139),HLOOKUP(Бланк!$M$2,Цены[#All],S139,0),"")</f>
        <v/>
      </c>
      <c r="V139" s="32">
        <f t="shared" si="72"/>
        <v>137</v>
      </c>
      <c r="W139" s="10" t="str">
        <f t="shared" si="74"/>
        <v>ПВХ_G</v>
      </c>
      <c r="X139" s="97" t="str">
        <f>IF(AND(Бланк!$H$21=$W$136,Бланк!$F$26=W139),HLOOKUP(Бланк!$M$18,Цены[#All],V139,0),"")</f>
        <v/>
      </c>
      <c r="Z139" s="32">
        <f t="shared" si="75"/>
        <v>137</v>
      </c>
      <c r="AA139" s="10" t="str">
        <f t="shared" si="76"/>
        <v>ПВХ_G</v>
      </c>
      <c r="AB139" s="97" t="str">
        <f>IF(AND(Бланк!$H$37=$AA$136,Бланк!$F$42=AA139),HLOOKUP(Бланк!$M$34,Цены[#All],Z139,0),"")</f>
        <v/>
      </c>
    </row>
    <row r="140" spans="1:28" s="39" customFormat="1" ht="15.75">
      <c r="A140" s="39">
        <f t="shared" si="71"/>
        <v>138</v>
      </c>
      <c r="B140" s="570"/>
      <c r="C140" s="419" t="str">
        <f>Профдекор[[#Headers],[ПВХ_M]]</f>
        <v>ПВХ_M</v>
      </c>
      <c r="D140" s="571" t="s">
        <v>1075</v>
      </c>
      <c r="E140" s="572" t="s">
        <v>1075</v>
      </c>
      <c r="F140" s="571">
        <v>25</v>
      </c>
      <c r="G140" s="571" t="s">
        <v>1075</v>
      </c>
      <c r="H140" s="380" t="s">
        <v>1075</v>
      </c>
      <c r="I140" s="571" t="s">
        <v>1075</v>
      </c>
      <c r="J140" s="420">
        <v>25</v>
      </c>
      <c r="K140" s="572"/>
      <c r="L140" s="589"/>
      <c r="M140" s="75">
        <f t="shared" si="54"/>
        <v>138</v>
      </c>
      <c r="N140" s="614" t="s">
        <v>714</v>
      </c>
      <c r="O140" s="583" t="str">
        <f t="shared" si="73"/>
        <v/>
      </c>
      <c r="P140" s="583" t="str">
        <f t="shared" si="50"/>
        <v/>
      </c>
      <c r="Q140" s="617" t="str">
        <f t="shared" si="51"/>
        <v/>
      </c>
      <c r="S140" s="32">
        <f>Цена!A140</f>
        <v>138</v>
      </c>
      <c r="T140" s="63" t="str">
        <f>Цена!C140</f>
        <v>ПВХ_M</v>
      </c>
      <c r="U140" s="97" t="str">
        <f>IF(AND(Бланк!$H$5=$T$136,Бланк!$F$10=T140),HLOOKUP(Бланк!$M$2,Цены[#All],S140,0),"")</f>
        <v/>
      </c>
      <c r="V140" s="32">
        <f t="shared" si="72"/>
        <v>138</v>
      </c>
      <c r="W140" s="10" t="str">
        <f t="shared" si="74"/>
        <v>ПВХ_M</v>
      </c>
      <c r="X140" s="97" t="str">
        <f>IF(AND(Бланк!$H$21=$W$136,Бланк!$F$26=W140),HLOOKUP(Бланк!$M$18,Цены[#All],V140,0),"")</f>
        <v/>
      </c>
      <c r="Z140" s="32">
        <f t="shared" si="75"/>
        <v>138</v>
      </c>
      <c r="AA140" s="10" t="str">
        <f t="shared" si="76"/>
        <v>ПВХ_M</v>
      </c>
      <c r="AB140" s="97" t="str">
        <f>IF(AND(Бланк!$H$37=$AA$136,Бланк!$F$42=AA140),HLOOKUP(Бланк!$M$34,Цены[#All],Z140,0),"")</f>
        <v/>
      </c>
    </row>
    <row r="141" spans="1:28" s="39" customFormat="1" ht="15.75">
      <c r="A141" s="39">
        <f t="shared" si="71"/>
        <v>139</v>
      </c>
      <c r="B141" s="570"/>
      <c r="C141" s="419" t="str">
        <f>Профдекор[[#Headers],[ПВХ_MD]]</f>
        <v>ПВХ_MD</v>
      </c>
      <c r="D141" s="571" t="s">
        <v>1075</v>
      </c>
      <c r="E141" s="572" t="s">
        <v>1075</v>
      </c>
      <c r="F141" s="571" t="s">
        <v>1075</v>
      </c>
      <c r="G141" s="571" t="s">
        <v>1075</v>
      </c>
      <c r="H141" s="380" t="s">
        <v>1075</v>
      </c>
      <c r="I141" s="571" t="s">
        <v>1075</v>
      </c>
      <c r="J141" s="420" t="s">
        <v>1075</v>
      </c>
      <c r="K141" s="572"/>
      <c r="L141" s="589"/>
      <c r="M141" s="75">
        <f t="shared" si="54"/>
        <v>139</v>
      </c>
      <c r="N141" s="614" t="s">
        <v>714</v>
      </c>
      <c r="O141" s="583" t="str">
        <f t="shared" si="73"/>
        <v/>
      </c>
      <c r="P141" s="583" t="str">
        <f t="shared" si="50"/>
        <v/>
      </c>
      <c r="Q141" s="617" t="str">
        <f t="shared" si="51"/>
        <v/>
      </c>
      <c r="S141" s="32">
        <f>Цена!A141</f>
        <v>139</v>
      </c>
      <c r="T141" s="63" t="str">
        <f>Цена!C141</f>
        <v>ПВХ_MD</v>
      </c>
      <c r="U141" s="97" t="str">
        <f>IF(AND(Бланк!$H$5=$T$136,Бланк!$F$10=T141),HLOOKUP(Бланк!$M$2,Цены[#All],S141,0),"")</f>
        <v/>
      </c>
      <c r="V141" s="32">
        <f t="shared" si="72"/>
        <v>139</v>
      </c>
      <c r="W141" s="10" t="str">
        <f t="shared" si="74"/>
        <v>ПВХ_MD</v>
      </c>
      <c r="X141" s="97" t="str">
        <f>IF(AND(Бланк!$H$21=$W$136,Бланк!$F$26=W141),HLOOKUP(Бланк!$M$18,Цены[#All],V141,0),"")</f>
        <v/>
      </c>
      <c r="Z141" s="32">
        <f t="shared" si="75"/>
        <v>139</v>
      </c>
      <c r="AA141" s="10" t="str">
        <f t="shared" si="76"/>
        <v>ПВХ_MD</v>
      </c>
      <c r="AB141" s="97" t="str">
        <f>IF(AND(Бланк!$H$37=$AA$136,Бланк!$F$42=AA141),HLOOKUP(Бланк!$M$34,Цены[#All],Z141,0),"")</f>
        <v/>
      </c>
    </row>
    <row r="142" spans="1:28" s="39" customFormat="1" ht="15.75">
      <c r="A142" s="39">
        <f t="shared" si="71"/>
        <v>140</v>
      </c>
      <c r="B142" s="570"/>
      <c r="C142" s="419" t="s">
        <v>312</v>
      </c>
      <c r="D142" s="571" t="s">
        <v>1075</v>
      </c>
      <c r="E142" s="572" t="s">
        <v>1075</v>
      </c>
      <c r="F142" s="571">
        <f>F133</f>
        <v>0</v>
      </c>
      <c r="G142" s="571" t="s">
        <v>1075</v>
      </c>
      <c r="H142" s="380" t="s">
        <v>1075</v>
      </c>
      <c r="I142" s="571" t="s">
        <v>1075</v>
      </c>
      <c r="J142" s="420">
        <f>Цены[[#This Row],[О_2]]</f>
        <v>0</v>
      </c>
      <c r="K142" s="572">
        <f>Цены[[#This Row],[М_3]]</f>
        <v>0</v>
      </c>
      <c r="L142" s="589"/>
      <c r="M142" s="75">
        <f t="shared" si="54"/>
        <v>140</v>
      </c>
      <c r="N142" s="614" t="s">
        <v>714</v>
      </c>
      <c r="O142" s="583" t="str">
        <f t="shared" si="73"/>
        <v/>
      </c>
      <c r="P142" s="583" t="str">
        <f t="shared" si="50"/>
        <v/>
      </c>
      <c r="Q142" s="617" t="str">
        <f t="shared" si="51"/>
        <v/>
      </c>
      <c r="S142" s="32">
        <f>Цена!A142</f>
        <v>140</v>
      </c>
      <c r="T142" s="63" t="str">
        <f>Цена!C142</f>
        <v>патина</v>
      </c>
      <c r="U142" s="97" t="str">
        <f>IF(AND(Бланк!$H$5=$T$136,Бланк!$P$10=T142),HLOOKUP(Бланк!$M$2,Цены[#All],S142,0),"")</f>
        <v/>
      </c>
      <c r="V142" s="32">
        <f t="shared" si="72"/>
        <v>140</v>
      </c>
      <c r="W142" s="10" t="str">
        <f t="shared" si="74"/>
        <v>патина</v>
      </c>
      <c r="X142" s="97" t="str">
        <f>IF(AND(Бланк!$H$21=$W$136,Бланк!P26=W142),HLOOKUP(Бланк!$M$18,Цены[#All],V142,0),"")</f>
        <v/>
      </c>
      <c r="Z142" s="32">
        <f t="shared" si="75"/>
        <v>140</v>
      </c>
      <c r="AA142" s="10" t="str">
        <f t="shared" si="76"/>
        <v>патина</v>
      </c>
      <c r="AB142" s="97" t="str">
        <f>IF(AND(Бланк!$H$37=$AA$136,Бланк!P42=AA142),HLOOKUP(Бланк!$M$34,Цены[#All],Z142,0),"")</f>
        <v/>
      </c>
    </row>
    <row r="143" spans="1:28" s="39" customFormat="1" ht="15.75">
      <c r="A143" s="39">
        <f t="shared" si="71"/>
        <v>141</v>
      </c>
      <c r="B143" s="117" t="s">
        <v>717</v>
      </c>
      <c r="C143" s="9" t="str">
        <f>C134</f>
        <v>Структурная</v>
      </c>
      <c r="D143" s="738" t="s">
        <v>1075</v>
      </c>
      <c r="E143" s="165" t="s">
        <v>1075</v>
      </c>
      <c r="F143" s="15">
        <v>32</v>
      </c>
      <c r="G143" s="738" t="s">
        <v>1075</v>
      </c>
      <c r="H143" s="15" t="s">
        <v>1075</v>
      </c>
      <c r="I143" s="738" t="s">
        <v>1075</v>
      </c>
      <c r="J143" s="119">
        <v>32</v>
      </c>
      <c r="K143" s="154"/>
      <c r="L143" s="589"/>
      <c r="M143" s="75">
        <f t="shared" si="54"/>
        <v>141</v>
      </c>
      <c r="N143" s="614" t="s">
        <v>714</v>
      </c>
      <c r="O143" s="583" t="str">
        <f t="shared" si="73"/>
        <v/>
      </c>
      <c r="P143" s="583" t="str">
        <f t="shared" si="50"/>
        <v/>
      </c>
      <c r="Q143" s="617" t="str">
        <f t="shared" si="51"/>
        <v/>
      </c>
      <c r="S143" s="32">
        <f>Цена!A143</f>
        <v>141</v>
      </c>
      <c r="T143" s="63" t="str">
        <f>Цена!C143</f>
        <v>Структурная</v>
      </c>
      <c r="U143" s="97" t="str">
        <f>IF(AND(Бланк!G5=$B$127,Бланк!$F$10=T143),HLOOKUP(Бланк!$M$2,Цены[#All],S143,0),"")</f>
        <v/>
      </c>
      <c r="V143" s="32">
        <f t="shared" si="72"/>
        <v>141</v>
      </c>
      <c r="W143" s="10" t="str">
        <f t="shared" si="74"/>
        <v>Структурная</v>
      </c>
      <c r="X143" s="97" t="str">
        <f>IF(AND(Бланк!G21=$B$127,Бланк!$F$26=W143),HLOOKUP(Бланк!$M$18,Цены[#All],V143,0),"")</f>
        <v/>
      </c>
      <c r="Z143" s="32">
        <f t="shared" si="75"/>
        <v>141</v>
      </c>
      <c r="AA143" s="10" t="str">
        <f t="shared" si="76"/>
        <v>Структурная</v>
      </c>
      <c r="AB143" s="97" t="str">
        <f>IF(AND(Бланк!G37=$B$127,Бланк!$F$42=AA143),HLOOKUP(Бланк!$M$34,Цены[#All],Z143,0),"")</f>
        <v/>
      </c>
    </row>
    <row r="144" spans="1:28" s="39" customFormat="1" ht="15.75">
      <c r="A144" s="39">
        <f t="shared" si="71"/>
        <v>142</v>
      </c>
      <c r="B144" s="117" t="s">
        <v>716</v>
      </c>
      <c r="C144" s="9" t="str">
        <f>C135</f>
        <v>Грунтовка щита МДФ</v>
      </c>
      <c r="D144" s="738" t="s">
        <v>1075</v>
      </c>
      <c r="E144" s="165" t="s">
        <v>1075</v>
      </c>
      <c r="F144" s="15">
        <v>32</v>
      </c>
      <c r="G144" s="738" t="s">
        <v>1075</v>
      </c>
      <c r="H144" s="15" t="s">
        <v>1075</v>
      </c>
      <c r="I144" s="738" t="s">
        <v>1075</v>
      </c>
      <c r="J144" s="119">
        <v>32</v>
      </c>
      <c r="K144" s="154"/>
      <c r="L144" s="589"/>
      <c r="M144" s="75">
        <f t="shared" si="54"/>
        <v>142</v>
      </c>
      <c r="N144" s="614" t="s">
        <v>714</v>
      </c>
      <c r="O144" s="583" t="str">
        <f t="shared" si="73"/>
        <v/>
      </c>
      <c r="P144" s="583" t="str">
        <f t="shared" si="50"/>
        <v/>
      </c>
      <c r="Q144" s="617" t="str">
        <f t="shared" si="51"/>
        <v/>
      </c>
      <c r="S144" s="32">
        <f>Цена!A144</f>
        <v>142</v>
      </c>
      <c r="T144" s="543" t="str">
        <f>Цена!C144</f>
        <v>Грунтовка щита МДФ</v>
      </c>
      <c r="U144" s="97" t="str">
        <f>IF(AND(Бланк!G5=$B$127,Бланк!$F$10=T144),HLOOKUP(Бланк!$M$2,Цены[#All],S144,0),"")</f>
        <v/>
      </c>
      <c r="V144" s="32">
        <f t="shared" si="72"/>
        <v>142</v>
      </c>
      <c r="W144" s="544" t="str">
        <f t="shared" si="74"/>
        <v>Грунтовка щита МДФ</v>
      </c>
      <c r="X144" s="97" t="str">
        <f>IF(AND(Бланк!G21=$B$127,Бланк!$F$26=W144),HLOOKUP(Бланк!$M$18,Цены[#All],V144,0),"")</f>
        <v/>
      </c>
      <c r="Z144" s="32">
        <f t="shared" si="75"/>
        <v>142</v>
      </c>
      <c r="AA144" s="544" t="str">
        <f t="shared" si="76"/>
        <v>Грунтовка щита МДФ</v>
      </c>
      <c r="AB144" s="97" t="str">
        <f>IF(AND(Бланк!G37=$B$127,Бланк!$F$42=AA144),HLOOKUP(Бланк!$M$34,Цены[#All],Z144,0),"")</f>
        <v/>
      </c>
    </row>
    <row r="145" spans="1:28" s="40" customFormat="1" ht="15.75">
      <c r="A145" s="39">
        <f t="shared" si="71"/>
        <v>143</v>
      </c>
      <c r="B145" s="117" t="s">
        <v>677</v>
      </c>
      <c r="C145" s="9" t="s">
        <v>677</v>
      </c>
      <c r="D145" s="738" t="s">
        <v>1075</v>
      </c>
      <c r="E145" s="165" t="s">
        <v>1075</v>
      </c>
      <c r="F145" s="15">
        <v>40</v>
      </c>
      <c r="G145" s="738" t="s">
        <v>1075</v>
      </c>
      <c r="H145" s="15" t="s">
        <v>1075</v>
      </c>
      <c r="I145" s="738" t="s">
        <v>1075</v>
      </c>
      <c r="J145" s="119">
        <f>Цены[[#This Row],[О_2]]</f>
        <v>40</v>
      </c>
      <c r="K145" s="154"/>
      <c r="L145" s="589"/>
      <c r="M145" s="75">
        <f t="shared" si="54"/>
        <v>143</v>
      </c>
      <c r="N145" s="614" t="s">
        <v>714</v>
      </c>
      <c r="O145" s="583" t="str">
        <f t="shared" si="73"/>
        <v/>
      </c>
      <c r="P145" s="583" t="str">
        <f t="shared" si="50"/>
        <v/>
      </c>
      <c r="Q145" s="617" t="str">
        <f t="shared" si="51"/>
        <v/>
      </c>
      <c r="S145" s="32">
        <f>Цена!A145</f>
        <v>143</v>
      </c>
      <c r="T145" s="543" t="str">
        <f>Цена!C145</f>
        <v>Фанера</v>
      </c>
      <c r="U145" s="97" t="str">
        <f>IF(AND(Бланк!G5=$B$127,Бланк!G9=T145),HLOOKUP(Бланк!$M$2,Цены[#All],S145,0),"")</f>
        <v/>
      </c>
      <c r="V145" s="32">
        <f t="shared" si="72"/>
        <v>143</v>
      </c>
      <c r="W145" s="544" t="str">
        <f>T145</f>
        <v>Фанера</v>
      </c>
      <c r="X145" s="97" t="str">
        <f>IF(AND(Бланк!G21=$B$127,Бланк!G25=W145),HLOOKUP(Бланк!$M$18,Цены[#All],V145,0),"")</f>
        <v/>
      </c>
      <c r="Z145" s="32">
        <f>S145</f>
        <v>143</v>
      </c>
      <c r="AA145" s="544" t="str">
        <f>T145</f>
        <v>Фанера</v>
      </c>
      <c r="AB145" s="97" t="str">
        <f>IF(AND(Бланк!G37=$B$127,Бланк!$G$41=AA145),HLOOKUP(Бланк!$M$34,Цены[#All],Z145,0),"")</f>
        <v/>
      </c>
    </row>
    <row r="146" spans="1:28" s="39" customFormat="1" ht="15.75">
      <c r="A146" s="39">
        <f t="shared" si="71"/>
        <v>144</v>
      </c>
      <c r="B146" s="125" t="s">
        <v>446</v>
      </c>
      <c r="C146" s="9"/>
      <c r="D146" s="738"/>
      <c r="E146" s="154"/>
      <c r="F146" s="15"/>
      <c r="G146" s="738" t="s">
        <v>1075</v>
      </c>
      <c r="H146" s="15" t="s">
        <v>1075</v>
      </c>
      <c r="I146" s="738" t="s">
        <v>1075</v>
      </c>
      <c r="J146" s="119"/>
      <c r="K146" s="154"/>
      <c r="L146" s="589"/>
      <c r="M146" s="75">
        <f t="shared" si="54"/>
        <v>144</v>
      </c>
      <c r="N146" s="597" t="str">
        <f>Цены[[#This Row],[Столбец1]]</f>
        <v>увеличение наличника</v>
      </c>
      <c r="O146" s="583" t="str">
        <f t="shared" si="73"/>
        <v/>
      </c>
      <c r="P146" s="583" t="str">
        <f t="shared" ref="P146:P157" si="77">IF(X146=$V$1,"Ошибка-2","")</f>
        <v/>
      </c>
      <c r="Q146" s="617" t="str">
        <f t="shared" ref="Q146:Q157" si="78">IF(AB146=$V$1,"Ошибка-3","")</f>
        <v/>
      </c>
      <c r="S146" s="32">
        <f>Цена!A146</f>
        <v>144</v>
      </c>
      <c r="T146" s="545"/>
      <c r="U146" s="96">
        <f>IF((Бланк!L5+Бланк!O5+Бланк!R5)&lt;151,0,((Бланк!L5+Бланк!O5+Бланк!R5)-150)/30)</f>
        <v>0</v>
      </c>
      <c r="V146" s="32">
        <f t="shared" si="72"/>
        <v>144</v>
      </c>
      <c r="W146" s="546"/>
      <c r="X146" s="96">
        <f>IF((Бланк!L21+Бланк!O21+Бланк!R21)&lt;151,0,((Бланк!L21+Бланк!O21+Бланк!R21)-150)/30)</f>
        <v>0</v>
      </c>
      <c r="Z146" s="32">
        <f t="shared" si="75"/>
        <v>144</v>
      </c>
      <c r="AA146" s="546"/>
      <c r="AB146" s="96">
        <f>IF((Бланк!L37+Бланк!O37+Бланк!R37)&lt;151,0,((Бланк!L37+Бланк!O37+Бланк!R37)-150)/30)</f>
        <v>0</v>
      </c>
    </row>
    <row r="147" spans="1:28" ht="15.75">
      <c r="A147" s="39">
        <f t="shared" si="71"/>
        <v>145</v>
      </c>
      <c r="B147" s="117" t="s">
        <v>411</v>
      </c>
      <c r="C147" s="9" t="s">
        <v>69</v>
      </c>
      <c r="D147" s="738" t="s">
        <v>1075</v>
      </c>
      <c r="E147" s="165" t="s">
        <v>1075</v>
      </c>
      <c r="F147" s="738" t="s">
        <v>1075</v>
      </c>
      <c r="G147" s="15">
        <v>49</v>
      </c>
      <c r="H147" s="15">
        <v>49</v>
      </c>
      <c r="I147" s="15">
        <v>49</v>
      </c>
      <c r="J147" s="119" t="s">
        <v>1075</v>
      </c>
      <c r="K147" s="165"/>
      <c r="L147" s="75"/>
      <c r="M147" s="75">
        <f t="shared" si="54"/>
        <v>145</v>
      </c>
      <c r="N147" s="594" t="str">
        <f>Цены[[#This Row],[Столбец1]]</f>
        <v>накладки металл</v>
      </c>
      <c r="O147" s="583" t="str">
        <f t="shared" si="73"/>
        <v/>
      </c>
      <c r="P147" s="583" t="str">
        <f t="shared" si="77"/>
        <v/>
      </c>
      <c r="Q147" s="617" t="str">
        <f t="shared" si="78"/>
        <v/>
      </c>
      <c r="S147" s="32">
        <f>Цена!A147</f>
        <v>145</v>
      </c>
      <c r="T147" s="60" t="str">
        <f>Цена!C147</f>
        <v>накладка</v>
      </c>
      <c r="U147" s="97">
        <f>IF(Бланк!$P$13=T147,HLOOKUP(Бланк!$M$2,Цены[#All],S147,0),0)</f>
        <v>0</v>
      </c>
      <c r="V147" s="32">
        <f t="shared" si="72"/>
        <v>145</v>
      </c>
      <c r="W147" s="10" t="str">
        <f t="shared" si="67"/>
        <v>накладка</v>
      </c>
      <c r="X147" s="97">
        <f>IF(Бланк!$P$29=W147,HLOOKUP(Бланк!$M$18,Цены[#All],V147,0),0)</f>
        <v>0</v>
      </c>
      <c r="Z147" s="32">
        <f t="shared" si="63"/>
        <v>145</v>
      </c>
      <c r="AA147" s="10" t="str">
        <f t="shared" si="65"/>
        <v>накладка</v>
      </c>
      <c r="AB147" s="97">
        <f>IF(Бланк!$P$45=AA147,HLOOKUP(Бланк!$M$34,Цены[#All],Z147,0),0)</f>
        <v>0</v>
      </c>
    </row>
    <row r="148" spans="1:28" s="39" customFormat="1" ht="15.75">
      <c r="A148" s="39">
        <f t="shared" si="71"/>
        <v>146</v>
      </c>
      <c r="B148" s="117"/>
      <c r="C148" s="9" t="s">
        <v>543</v>
      </c>
      <c r="D148" s="738">
        <v>30</v>
      </c>
      <c r="E148" s="165">
        <v>30</v>
      </c>
      <c r="F148" s="738" t="s">
        <v>1075</v>
      </c>
      <c r="G148" s="15">
        <v>30</v>
      </c>
      <c r="H148" s="15">
        <v>30</v>
      </c>
      <c r="I148" s="15">
        <v>30</v>
      </c>
      <c r="J148" s="119" t="s">
        <v>1075</v>
      </c>
      <c r="K148" s="165"/>
      <c r="L148" s="583"/>
      <c r="M148" s="75">
        <f t="shared" si="54"/>
        <v>146</v>
      </c>
      <c r="N148" s="594" t="str">
        <f>Цены[[#This Row],[Параметр]]</f>
        <v>пробивка</v>
      </c>
      <c r="O148" s="583" t="str">
        <f t="shared" si="73"/>
        <v/>
      </c>
      <c r="P148" s="583" t="str">
        <f t="shared" si="77"/>
        <v/>
      </c>
      <c r="Q148" s="617" t="str">
        <f t="shared" si="78"/>
        <v/>
      </c>
      <c r="S148" s="32">
        <f>Цена!A148</f>
        <v>146</v>
      </c>
      <c r="T148" s="60" t="str">
        <f>Цена!C148</f>
        <v>пробивка</v>
      </c>
      <c r="U148" s="97">
        <f>IF(Бланк!$P$13=T148,HLOOKUP(Бланк!$M$2,Цены[#All],S148,0),0)</f>
        <v>0</v>
      </c>
      <c r="V148" s="32">
        <f t="shared" si="72"/>
        <v>146</v>
      </c>
      <c r="W148" s="10" t="str">
        <f>T148</f>
        <v>пробивка</v>
      </c>
      <c r="X148" s="97">
        <f>IF(Бланк!$P$29=W148,HLOOKUP(Бланк!$M$18,Цены[#All],V148,0),0)</f>
        <v>0</v>
      </c>
      <c r="Z148" s="32">
        <f>S148</f>
        <v>146</v>
      </c>
      <c r="AA148" s="10" t="str">
        <f>T148</f>
        <v>пробивка</v>
      </c>
      <c r="AB148" s="97">
        <f>IF(Бланк!$P$45=AA148,HLOOKUP(Бланк!$M$34,Цены[#All],Z148,0),0)</f>
        <v>0</v>
      </c>
    </row>
    <row r="149" spans="1:28" ht="15.75">
      <c r="A149" s="39">
        <f t="shared" si="71"/>
        <v>147</v>
      </c>
      <c r="B149" s="117" t="s">
        <v>70</v>
      </c>
      <c r="C149" s="9" t="s">
        <v>70</v>
      </c>
      <c r="D149" s="738">
        <v>-8</v>
      </c>
      <c r="E149" s="165">
        <v>-8</v>
      </c>
      <c r="F149" s="738">
        <v>-8</v>
      </c>
      <c r="G149" s="738">
        <v>-8</v>
      </c>
      <c r="H149" s="15">
        <v>-8</v>
      </c>
      <c r="I149" s="738">
        <v>-8</v>
      </c>
      <c r="J149" s="119">
        <v>-8</v>
      </c>
      <c r="K149" s="165"/>
      <c r="L149" s="75"/>
      <c r="M149" s="75">
        <f t="shared" si="54"/>
        <v>147</v>
      </c>
      <c r="N149" s="594" t="str">
        <f>Цены[[#This Row],[Столбец1]]</f>
        <v>без отделки</v>
      </c>
      <c r="O149" s="583" t="str">
        <f t="shared" si="73"/>
        <v/>
      </c>
      <c r="P149" s="583" t="str">
        <f t="shared" si="77"/>
        <v/>
      </c>
      <c r="Q149" s="617" t="str">
        <f t="shared" si="78"/>
        <v/>
      </c>
      <c r="S149" s="32">
        <f>Цена!A149</f>
        <v>147</v>
      </c>
      <c r="T149" s="60" t="str">
        <f>Цена!C149</f>
        <v>без отделки</v>
      </c>
      <c r="U149" s="97" t="str">
        <f>IF(Бланк!$F$11=T149,HLOOKUP(Бланк!$M$2,Цены[#All],S149,0),"")</f>
        <v/>
      </c>
      <c r="V149" s="32">
        <f t="shared" si="72"/>
        <v>147</v>
      </c>
      <c r="W149" s="10" t="str">
        <f t="shared" si="67"/>
        <v>без отделки</v>
      </c>
      <c r="X149" s="97" t="str">
        <f>IF(Бланк!$F$27=W149,HLOOKUP(Бланк!$M$18,Цены[#All],V149,0),"")</f>
        <v/>
      </c>
      <c r="Z149" s="32">
        <f t="shared" si="63"/>
        <v>147</v>
      </c>
      <c r="AA149" s="10" t="str">
        <f t="shared" si="65"/>
        <v>без отделки</v>
      </c>
      <c r="AB149" s="97" t="str">
        <f>IF(Бланк!$F$43=AA149,HLOOKUP(Бланк!$M$34,Цены[#All],Z149,0),"")</f>
        <v/>
      </c>
    </row>
    <row r="150" spans="1:28" ht="15.75">
      <c r="A150" s="39">
        <f t="shared" si="71"/>
        <v>148</v>
      </c>
      <c r="B150" s="117" t="s">
        <v>71</v>
      </c>
      <c r="C150" s="9" t="s">
        <v>73</v>
      </c>
      <c r="D150" s="300">
        <v>3</v>
      </c>
      <c r="E150" s="165">
        <f>Цены[[#This Row],[О_0]]</f>
        <v>3</v>
      </c>
      <c r="F150" s="738">
        <f>Цены[[#This Row],[О_0]]</f>
        <v>3</v>
      </c>
      <c r="G150" s="738">
        <f>Цены[[#This Row],[О_0]]</f>
        <v>3</v>
      </c>
      <c r="H150" s="15">
        <f>Цены[[#This Row],[О_0]]</f>
        <v>3</v>
      </c>
      <c r="I150" s="738">
        <f>Цены[[#This Row],[О_0]]</f>
        <v>3</v>
      </c>
      <c r="J150" s="119">
        <f>Цены[[#This Row],[О_0]]</f>
        <v>3</v>
      </c>
      <c r="K150" s="165">
        <f>Цены[[#This Row],[О_0]]</f>
        <v>3</v>
      </c>
      <c r="L150" s="75"/>
      <c r="M150" s="75">
        <f t="shared" si="54"/>
        <v>148</v>
      </c>
      <c r="N150" s="594" t="str">
        <f>Цены[[#This Row],[Столбец1]]</f>
        <v>Упаковка</v>
      </c>
      <c r="O150" s="583" t="str">
        <f t="shared" si="73"/>
        <v/>
      </c>
      <c r="P150" s="583" t="str">
        <f t="shared" si="77"/>
        <v/>
      </c>
      <c r="Q150" s="617" t="str">
        <f t="shared" si="78"/>
        <v/>
      </c>
      <c r="S150" s="32">
        <f>Цена!A150</f>
        <v>148</v>
      </c>
      <c r="T150" s="62" t="str">
        <f>Цена!C150</f>
        <v>стрейч + пенопласт</v>
      </c>
      <c r="U150" s="97">
        <f>IF(Бланк!$V$15=T150,HLOOKUP(Бланк!$M$2,Цены[#All],S150,0),0)</f>
        <v>0</v>
      </c>
      <c r="V150" s="32">
        <f t="shared" si="72"/>
        <v>148</v>
      </c>
      <c r="W150" s="10" t="str">
        <f t="shared" si="67"/>
        <v>стрейч + пенопласт</v>
      </c>
      <c r="X150" s="97">
        <f>IF(Бланк!$V$31=W150,HLOOKUP(Бланк!$M$18,Цены[#All],V150,0),0)</f>
        <v>0</v>
      </c>
      <c r="Z150" s="32">
        <f t="shared" si="63"/>
        <v>148</v>
      </c>
      <c r="AA150" s="10" t="str">
        <f t="shared" si="65"/>
        <v>стрейч + пенопласт</v>
      </c>
      <c r="AB150" s="97">
        <f>IF(Бланк!$V$47=AA150,HLOOKUP(Бланк!$M$34,Цены[#All],Z150,0),0)</f>
        <v>0</v>
      </c>
    </row>
    <row r="151" spans="1:28" ht="15.75">
      <c r="A151" s="39">
        <f t="shared" si="71"/>
        <v>149</v>
      </c>
      <c r="B151" s="117"/>
      <c r="C151" s="9" t="s">
        <v>72</v>
      </c>
      <c r="D151" s="300">
        <v>8</v>
      </c>
      <c r="E151" s="165">
        <f>Цены[[#This Row],[О_0]]</f>
        <v>8</v>
      </c>
      <c r="F151" s="738">
        <f>Цены[[#This Row],[О_1]]</f>
        <v>8</v>
      </c>
      <c r="G151" s="738">
        <f>Цены[[#This Row],[О_2]]</f>
        <v>8</v>
      </c>
      <c r="H151" s="15">
        <f>Цены[[#This Row],[М_0]]</f>
        <v>8</v>
      </c>
      <c r="I151" s="738">
        <f>Цены[[#This Row],[М_1]]</f>
        <v>8</v>
      </c>
      <c r="J151" s="119">
        <f>Цены[[#This Row],[М_2]]</f>
        <v>8</v>
      </c>
      <c r="K151" s="165">
        <f>Цены[[#This Row],[М_3]]</f>
        <v>8</v>
      </c>
      <c r="L151" s="75"/>
      <c r="M151" s="75">
        <f t="shared" si="54"/>
        <v>149</v>
      </c>
      <c r="N151" s="594" t="str">
        <f>N150</f>
        <v>Упаковка</v>
      </c>
      <c r="O151" s="583" t="str">
        <f t="shared" ref="O151:O152" si="79">IF(U151=$V$1,"Ошибка-1","")</f>
        <v/>
      </c>
      <c r="P151" s="583" t="str">
        <f t="shared" ref="P151:P152" si="80">IF(X151=$V$1,"Ошибка-2","")</f>
        <v/>
      </c>
      <c r="Q151" s="617" t="str">
        <f t="shared" ref="Q151:Q152" si="81">IF(AB151=$V$1,"Ошибка-3","")</f>
        <v/>
      </c>
      <c r="S151" s="32">
        <f>Цена!A151</f>
        <v>149</v>
      </c>
      <c r="T151" s="62" t="str">
        <f>Цена!C151</f>
        <v>картон + пенопласт</v>
      </c>
      <c r="U151" s="97">
        <f>IF(Бланк!$V$15=T151,HLOOKUP(Бланк!$M$2,Цены[#All],S151,0),0)</f>
        <v>0</v>
      </c>
      <c r="V151" s="32">
        <f t="shared" si="72"/>
        <v>149</v>
      </c>
      <c r="W151" s="10" t="str">
        <f t="shared" si="67"/>
        <v>картон + пенопласт</v>
      </c>
      <c r="X151" s="97">
        <f>IF(Бланк!$V$31=W151,HLOOKUP(Бланк!$M$18,Цены[#All],V151,0),0)</f>
        <v>0</v>
      </c>
      <c r="Z151" s="32">
        <f t="shared" si="63"/>
        <v>149</v>
      </c>
      <c r="AA151" s="10" t="str">
        <f t="shared" si="65"/>
        <v>картон + пенопласт</v>
      </c>
      <c r="AB151" s="97">
        <f>IF(Бланк!$V$47=AA151,HLOOKUP(Бланк!$M$34,Цены[#All],Z151,0),0)</f>
        <v>0</v>
      </c>
    </row>
    <row r="152" spans="1:28" s="39" customFormat="1" ht="15.75">
      <c r="A152" s="39">
        <f t="shared" si="71"/>
        <v>150</v>
      </c>
      <c r="B152" s="117"/>
      <c r="C152" s="9" t="s">
        <v>1194</v>
      </c>
      <c r="D152" s="738">
        <f>D151+2</f>
        <v>10</v>
      </c>
      <c r="E152" s="165">
        <f t="shared" ref="E152:K152" si="82">E151+2</f>
        <v>10</v>
      </c>
      <c r="F152" s="738">
        <f t="shared" si="82"/>
        <v>10</v>
      </c>
      <c r="G152" s="738">
        <f t="shared" si="82"/>
        <v>10</v>
      </c>
      <c r="H152" s="15">
        <f t="shared" si="82"/>
        <v>10</v>
      </c>
      <c r="I152" s="738">
        <f t="shared" si="82"/>
        <v>10</v>
      </c>
      <c r="J152" s="119">
        <f t="shared" si="82"/>
        <v>10</v>
      </c>
      <c r="K152" s="165">
        <f t="shared" si="82"/>
        <v>10</v>
      </c>
      <c r="L152" s="75"/>
      <c r="M152" s="75">
        <f t="shared" si="54"/>
        <v>150</v>
      </c>
      <c r="N152" s="594" t="str">
        <f>N151</f>
        <v>Упаковка</v>
      </c>
      <c r="O152" s="583" t="str">
        <f t="shared" si="79"/>
        <v/>
      </c>
      <c r="P152" s="583" t="str">
        <f t="shared" si="80"/>
        <v/>
      </c>
      <c r="Q152" s="617" t="str">
        <f t="shared" si="81"/>
        <v/>
      </c>
      <c r="S152" s="32">
        <f>Цена!A152</f>
        <v>150</v>
      </c>
      <c r="T152" s="62" t="str">
        <f>Цена!C152</f>
        <v>Картон +</v>
      </c>
      <c r="U152" s="97">
        <f>IF(Бланк!$V$15=T152,HLOOKUP(Бланк!$M$2,Цены[#All],S152,0),0)</f>
        <v>0</v>
      </c>
      <c r="V152" s="32">
        <f t="shared" ref="V152" si="83">A152</f>
        <v>150</v>
      </c>
      <c r="W152" s="10" t="str">
        <f t="shared" ref="W152" si="84">T152</f>
        <v>Картон +</v>
      </c>
      <c r="X152" s="97">
        <f>IF(Бланк!$V$31=W152,HLOOKUP(Бланк!$M$18,Цены[#All],V152,0),0)</f>
        <v>0</v>
      </c>
      <c r="Z152" s="32">
        <f t="shared" ref="Z152" si="85">S152</f>
        <v>150</v>
      </c>
      <c r="AA152" s="10" t="str">
        <f t="shared" ref="AA152" si="86">T152</f>
        <v>Картон +</v>
      </c>
      <c r="AB152" s="97">
        <f>IF(Бланк!$V$47=AA152,HLOOKUP(Бланк!$M$34,Цены[#All],Z152,0),0)</f>
        <v>0</v>
      </c>
    </row>
    <row r="153" spans="1:28" ht="15.75">
      <c r="A153" s="39">
        <f t="shared" si="71"/>
        <v>151</v>
      </c>
      <c r="B153" s="570" t="s">
        <v>360</v>
      </c>
      <c r="C153" s="419" t="str">
        <f>Профдекор[[#Headers],[ПВХ_Стандарт]]</f>
        <v>ПВХ_Стандарт</v>
      </c>
      <c r="D153" s="571">
        <v>16</v>
      </c>
      <c r="E153" s="572">
        <f>Цены[[#This Row],[О_0]]</f>
        <v>16</v>
      </c>
      <c r="F153" s="571">
        <f>Цены[[#This Row],[О_1]]</f>
        <v>16</v>
      </c>
      <c r="G153" s="571">
        <f>Цены[[#This Row],[О_2]]</f>
        <v>16</v>
      </c>
      <c r="H153" s="380">
        <f>Цены[[#This Row],[М_0]]</f>
        <v>16</v>
      </c>
      <c r="I153" s="571">
        <f>Цены[[#This Row],[М_1]]</f>
        <v>16</v>
      </c>
      <c r="J153" s="420">
        <f>Цены[[#This Row],[М_2]]</f>
        <v>16</v>
      </c>
      <c r="K153" s="572">
        <f>Цены[[#This Row],[М_3]]</f>
        <v>16</v>
      </c>
      <c r="L153" s="75"/>
      <c r="M153" s="75">
        <f t="shared" si="54"/>
        <v>151</v>
      </c>
      <c r="N153" s="594" t="str">
        <f>Цены[[#This Row],[Столбец1]]</f>
        <v>Наличник</v>
      </c>
      <c r="O153" s="583" t="str">
        <f t="shared" ref="O153:O157" si="87">IF(U153=$V$1,"Ошибка-1","")</f>
        <v/>
      </c>
      <c r="P153" s="583" t="str">
        <f t="shared" si="77"/>
        <v/>
      </c>
      <c r="Q153" s="617" t="str">
        <f t="shared" si="78"/>
        <v/>
      </c>
      <c r="S153" s="32">
        <f>Цена!A153</f>
        <v>151</v>
      </c>
      <c r="T153" s="62" t="str">
        <f>Цена!C153</f>
        <v>ПВХ_Стандарт</v>
      </c>
      <c r="U153" s="97" t="str">
        <f>IF(AND(Бланк!$U$12="наличник",Бланк!$M$2="М_3",Бланк!X2="внутренняя"),"",IF(Бланк!U$12="наличник",U161,""))</f>
        <v/>
      </c>
      <c r="V153" s="32">
        <f t="shared" si="72"/>
        <v>151</v>
      </c>
      <c r="W153" s="10" t="str">
        <f t="shared" si="67"/>
        <v>ПВХ_Стандарт</v>
      </c>
      <c r="X153" s="97" t="str">
        <f>IF(AND(Бланк!$U$28="наличник",Бланк!$M$18="М_3",Бланк!X18="внутренняя"),"",IF(Бланк!$U$28="наличник",X161,""))</f>
        <v/>
      </c>
      <c r="Z153" s="32">
        <f t="shared" si="63"/>
        <v>151</v>
      </c>
      <c r="AA153" s="10" t="str">
        <f t="shared" si="65"/>
        <v>ПВХ_Стандарт</v>
      </c>
      <c r="AB153" s="97" t="str">
        <f>IF(AND(Бланк!$U$44="наличник",Бланк!$M$34="М_3",Бланк!X34="внутренняя"),"",IF(Бланк!$U$44="наличник",AB161,""))</f>
        <v/>
      </c>
    </row>
    <row r="154" spans="1:28" ht="15.75">
      <c r="A154" s="39">
        <f t="shared" si="71"/>
        <v>152</v>
      </c>
      <c r="B154" s="570"/>
      <c r="C154" s="419"/>
      <c r="D154" s="571"/>
      <c r="E154" s="572"/>
      <c r="F154" s="571"/>
      <c r="G154" s="571"/>
      <c r="H154" s="380"/>
      <c r="I154" s="571"/>
      <c r="J154" s="420"/>
      <c r="K154" s="572"/>
      <c r="L154" s="75"/>
      <c r="M154" s="75">
        <f t="shared" ref="M154:M224" si="88">A154</f>
        <v>152</v>
      </c>
      <c r="N154" s="594">
        <f>Цены[[#This Row],[Столбец1]]</f>
        <v>0</v>
      </c>
      <c r="O154" s="583" t="str">
        <f t="shared" si="87"/>
        <v/>
      </c>
      <c r="P154" s="583" t="str">
        <f t="shared" si="77"/>
        <v/>
      </c>
      <c r="Q154" s="617" t="str">
        <f t="shared" si="78"/>
        <v/>
      </c>
      <c r="S154" s="32">
        <f>Цена!A154</f>
        <v>152</v>
      </c>
      <c r="T154" s="62">
        <f>Цена!C154</f>
        <v>0</v>
      </c>
      <c r="U154" s="97" t="str">
        <f>IF(AND(Бланк!$U$12="наличник",Бланк!$M$2="М_3"),"",IF(Бланк!U$12="наличник",IF(Бланк!$F$12=T154,HLOOKUP(Бланк!$M$2,Цены[#All],S154,0),""),""))</f>
        <v/>
      </c>
      <c r="V154" s="32">
        <f t="shared" si="72"/>
        <v>152</v>
      </c>
      <c r="W154" s="10">
        <f t="shared" si="67"/>
        <v>0</v>
      </c>
      <c r="X154" s="97" t="str">
        <f>IF(AND(Бланк!$U$28="наличник",Бланк!$M$18="М_3"),"",IF(Бланк!$U$28="наличник",IF(Бланк!$F$28=W154,HLOOKUP(Бланк!$M$18,Цены[#All],V154,0),""),""))</f>
        <v/>
      </c>
      <c r="Z154" s="32">
        <f t="shared" si="63"/>
        <v>152</v>
      </c>
      <c r="AA154" s="10">
        <f t="shared" si="65"/>
        <v>0</v>
      </c>
      <c r="AB154" s="97" t="str">
        <f>IF(AND(Бланк!$U$44="наличник",Бланк!$M$34="М_3"),"",IF(Бланк!$U$44="наличник",IF(Бланк!$F$44=AA154,HLOOKUP(Бланк!$M$34,Цены[#All],Z154,0),""),""))</f>
        <v/>
      </c>
    </row>
    <row r="155" spans="1:28" ht="15.75">
      <c r="A155" s="39">
        <f t="shared" si="71"/>
        <v>153</v>
      </c>
      <c r="B155" s="570"/>
      <c r="C155" s="419"/>
      <c r="D155" s="571"/>
      <c r="E155" s="572"/>
      <c r="F155" s="571"/>
      <c r="G155" s="571"/>
      <c r="H155" s="380"/>
      <c r="I155" s="571"/>
      <c r="J155" s="420"/>
      <c r="K155" s="572"/>
      <c r="L155" s="75"/>
      <c r="M155" s="75">
        <f t="shared" si="88"/>
        <v>153</v>
      </c>
      <c r="N155" s="594">
        <f>N154</f>
        <v>0</v>
      </c>
      <c r="O155" s="583" t="str">
        <f t="shared" si="87"/>
        <v/>
      </c>
      <c r="P155" s="583" t="str">
        <f t="shared" si="77"/>
        <v/>
      </c>
      <c r="Q155" s="617" t="str">
        <f t="shared" si="78"/>
        <v/>
      </c>
      <c r="S155" s="32">
        <f>Цена!A155</f>
        <v>153</v>
      </c>
      <c r="T155" s="62">
        <f>Цена!C155</f>
        <v>0</v>
      </c>
      <c r="U155" s="97" t="str">
        <f>IF(AND(Бланк!$U$12="наличник",Бланк!$M$2="М_3"),"",IF(Бланк!U$12="наличник",IF(Бланк!$F$12=T155,HLOOKUP(Бланк!$M$2,Цены[#All],S155,0),""),""))</f>
        <v/>
      </c>
      <c r="V155" s="32">
        <f t="shared" si="72"/>
        <v>153</v>
      </c>
      <c r="W155" s="10">
        <f t="shared" si="67"/>
        <v>0</v>
      </c>
      <c r="X155" s="97" t="str">
        <f>IF(AND(Бланк!$U$28="наличник",Бланк!$M$18="М_3"),"",IF(Бланк!$U$28="наличник",IF(Бланк!$F$28=W155,HLOOKUP(Бланк!$M$18,Цены[#All],V155,0),""),""))</f>
        <v/>
      </c>
      <c r="Z155" s="32">
        <f t="shared" si="63"/>
        <v>153</v>
      </c>
      <c r="AA155" s="10">
        <f t="shared" si="65"/>
        <v>0</v>
      </c>
      <c r="AB155" s="97" t="str">
        <f>IF(AND(Бланк!$U$44="наличник",Бланк!$M$34="М_3"),"",IF(Бланк!$U$44="наличник",IF(Бланк!$F$44=AA155,HLOOKUP(Бланк!$M$34,Цены[#All],Z155,0),""),""))</f>
        <v/>
      </c>
    </row>
    <row r="156" spans="1:28" s="39" customFormat="1" ht="15.75">
      <c r="A156" s="39">
        <f t="shared" si="71"/>
        <v>154</v>
      </c>
      <c r="B156" s="570"/>
      <c r="C156" s="419"/>
      <c r="D156" s="571"/>
      <c r="E156" s="572"/>
      <c r="F156" s="571"/>
      <c r="G156" s="571"/>
      <c r="H156" s="380"/>
      <c r="I156" s="571"/>
      <c r="J156" s="420"/>
      <c r="K156" s="572"/>
      <c r="L156" s="75"/>
      <c r="M156" s="75">
        <f t="shared" si="88"/>
        <v>154</v>
      </c>
      <c r="N156" s="594">
        <f t="shared" ref="N156:N157" si="89">N155</f>
        <v>0</v>
      </c>
      <c r="O156" s="583" t="str">
        <f t="shared" si="87"/>
        <v/>
      </c>
      <c r="P156" s="583" t="str">
        <f t="shared" si="77"/>
        <v/>
      </c>
      <c r="Q156" s="617" t="str">
        <f t="shared" si="78"/>
        <v/>
      </c>
      <c r="S156" s="32">
        <f>Цена!A156</f>
        <v>154</v>
      </c>
      <c r="T156" s="62">
        <f>Цена!C156</f>
        <v>0</v>
      </c>
      <c r="U156" s="97" t="str">
        <f>IF(AND(Бланк!$U$12="наличник",Бланк!$M$2="М_3"),"",IF(Бланк!U$12="наличник",IF(Бланк!$F$12=T156,HLOOKUP(Бланк!$M$2,Цены[#All],S156,0),""),""))</f>
        <v/>
      </c>
      <c r="V156" s="32">
        <f t="shared" si="72"/>
        <v>154</v>
      </c>
      <c r="W156" s="10">
        <f>T156</f>
        <v>0</v>
      </c>
      <c r="X156" s="97" t="str">
        <f>IF(AND(Бланк!$U$28="наличник",Бланк!$M$18="М_3"),"",IF(Бланк!$U$28="наличник",IF(Бланк!$F$28=W156,HLOOKUP(Бланк!$M$18,Цены[#All],V156,0),""),""))</f>
        <v/>
      </c>
      <c r="Z156" s="32">
        <f>S156</f>
        <v>154</v>
      </c>
      <c r="AA156" s="10">
        <f>T156</f>
        <v>0</v>
      </c>
      <c r="AB156" s="97" t="str">
        <f>IF(AND(Бланк!$U$44="наличник",Бланк!$M$34="М_3"),"",IF(Бланк!$U$44="наличник",IF(Бланк!$F$44=AA156,HLOOKUP(Бланк!$M$34,Цены[#All],Z156,0),""),""))</f>
        <v/>
      </c>
    </row>
    <row r="157" spans="1:28" s="39" customFormat="1" ht="15.75">
      <c r="A157" s="39">
        <f t="shared" si="71"/>
        <v>155</v>
      </c>
      <c r="B157" s="570"/>
      <c r="C157" s="419"/>
      <c r="D157" s="571"/>
      <c r="E157" s="572"/>
      <c r="F157" s="571"/>
      <c r="G157" s="571"/>
      <c r="H157" s="380"/>
      <c r="I157" s="571"/>
      <c r="J157" s="420"/>
      <c r="K157" s="572"/>
      <c r="L157" s="75"/>
      <c r="M157" s="75">
        <f t="shared" si="88"/>
        <v>155</v>
      </c>
      <c r="N157" s="594">
        <f t="shared" si="89"/>
        <v>0</v>
      </c>
      <c r="O157" s="583" t="str">
        <f t="shared" si="87"/>
        <v/>
      </c>
      <c r="P157" s="583" t="str">
        <f t="shared" si="77"/>
        <v/>
      </c>
      <c r="Q157" s="617" t="str">
        <f t="shared" si="78"/>
        <v/>
      </c>
      <c r="S157" s="32">
        <f>Цена!A157</f>
        <v>155</v>
      </c>
      <c r="T157" s="62">
        <f>Цена!C157</f>
        <v>0</v>
      </c>
      <c r="U157" s="97" t="str">
        <f>IF(AND(Бланк!$U$12="наличник",Бланк!$M$2="М_3"),"",IF(Бланк!U$12="наличник",IF(Бланк!$F$12=T157,HLOOKUP(Бланк!$M$2,Цены[#All],S157,0),""),""))</f>
        <v/>
      </c>
      <c r="V157" s="32">
        <f t="shared" si="72"/>
        <v>155</v>
      </c>
      <c r="W157" s="10">
        <f t="shared" si="67"/>
        <v>0</v>
      </c>
      <c r="X157" s="97" t="str">
        <f>IF(AND(Бланк!$U$28="наличник",Бланк!$M$18="М_3"),"",IF(Бланк!$U$28="наличник",IF(Бланк!$F$28=W157,HLOOKUP(Бланк!$M$18,Цены[#All],V157,0),""),""))</f>
        <v/>
      </c>
      <c r="Z157" s="32">
        <f t="shared" si="63"/>
        <v>155</v>
      </c>
      <c r="AA157" s="10">
        <f t="shared" si="65"/>
        <v>0</v>
      </c>
      <c r="AB157" s="97" t="str">
        <f>IF(AND(Бланк!$U$44="наличник",Бланк!$M$34="М_3"),"",IF(Бланк!$U$44="наличник",IF(Бланк!$F$44=AA157,HLOOKUP(Бланк!$M$34,Цены[#All],Z157,0),""),""))</f>
        <v/>
      </c>
    </row>
    <row r="158" spans="1:28" ht="15.75">
      <c r="A158" s="39">
        <f t="shared" si="71"/>
        <v>156</v>
      </c>
      <c r="B158" s="117" t="s">
        <v>358</v>
      </c>
      <c r="C158" s="9" t="s">
        <v>312</v>
      </c>
      <c r="D158" s="738">
        <v>5</v>
      </c>
      <c r="E158" s="165">
        <f>Цены[[#This Row],[О_0]]</f>
        <v>5</v>
      </c>
      <c r="F158" s="738">
        <f>Цены[[#This Row],[О_1]]</f>
        <v>5</v>
      </c>
      <c r="G158" s="738">
        <f>Цены[[#This Row],[О_2]]</f>
        <v>5</v>
      </c>
      <c r="H158" s="15">
        <f>Цены[[#This Row],[М_0]]</f>
        <v>5</v>
      </c>
      <c r="I158" s="738">
        <f>Цены[[#This Row],[М_1]]</f>
        <v>5</v>
      </c>
      <c r="J158" s="119">
        <f>Цены[[#This Row],[М_2]]</f>
        <v>5</v>
      </c>
      <c r="K158" s="165">
        <f>Цены[[#This Row],[М_3]]</f>
        <v>5</v>
      </c>
      <c r="L158" s="75"/>
      <c r="M158" s="75">
        <f t="shared" si="88"/>
        <v>156</v>
      </c>
      <c r="N158" s="594" t="str">
        <f>Цены[[#This Row],[Столбец1]]</f>
        <v>к Винориту</v>
      </c>
      <c r="O158" s="583" t="str">
        <f t="shared" ref="O158:O168" si="90">IF(U158=$V$1,"Ошибка-1","")</f>
        <v/>
      </c>
      <c r="P158" s="583" t="str">
        <f t="shared" ref="P158:P168" si="91">IF(X158=$V$1,"Ошибка-2","")</f>
        <v/>
      </c>
      <c r="Q158" s="617" t="str">
        <f t="shared" ref="Q158:Q168" si="92">IF(AB158=$V$1,"Ошибка-3","")</f>
        <v/>
      </c>
      <c r="S158" s="32">
        <f>Цена!A158</f>
        <v>156</v>
      </c>
      <c r="T158" s="62" t="str">
        <f>Цена!C158</f>
        <v>патина</v>
      </c>
      <c r="U158" s="97" t="str">
        <f>IF(AND(Бланк!P12="Патина",Бланк!U$12="наличник"),IF(Бланк!$O$12=T158,HLOOKUP(Бланк!$M$2,Цены[#All],S158,0),""),"")</f>
        <v/>
      </c>
      <c r="V158" s="32">
        <f t="shared" si="72"/>
        <v>156</v>
      </c>
      <c r="W158" s="10" t="str">
        <f t="shared" si="67"/>
        <v>патина</v>
      </c>
      <c r="X158" s="97" t="str">
        <f>IF(AND(Бланк!P28="Патина",Бланк!$U$28="наличник"),IF(Бланк!$O$28=W158,HLOOKUP(Бланк!$M$18,Цены[#All],V158,0),""),"")</f>
        <v/>
      </c>
      <c r="Z158" s="32">
        <f t="shared" si="63"/>
        <v>156</v>
      </c>
      <c r="AA158" s="10" t="str">
        <f t="shared" si="65"/>
        <v>патина</v>
      </c>
      <c r="AB158" s="97" t="str">
        <f>IF(AND(Бланк!P44="Патина",Бланк!$U$44="наличник"),IF(Бланк!$O$44=AA158,HLOOKUP(Бланк!$M$34,Цены[#All],Z158,0),""),"")</f>
        <v/>
      </c>
    </row>
    <row r="159" spans="1:28" s="39" customFormat="1" ht="15.75">
      <c r="A159" s="39">
        <f t="shared" si="71"/>
        <v>157</v>
      </c>
      <c r="B159" s="117" t="s">
        <v>31</v>
      </c>
      <c r="C159" s="9" t="str">
        <f>C143</f>
        <v>Структурная</v>
      </c>
      <c r="D159" s="738">
        <f>D156+D158</f>
        <v>5</v>
      </c>
      <c r="E159" s="165">
        <f>Цены[[#This Row],[О_0]]</f>
        <v>5</v>
      </c>
      <c r="F159" s="165">
        <f>Цены[[#This Row],[О_1]]</f>
        <v>5</v>
      </c>
      <c r="G159" s="165">
        <f>Цены[[#This Row],[О_2]]</f>
        <v>5</v>
      </c>
      <c r="H159" s="154">
        <f>Цены[[#This Row],[М_0]]</f>
        <v>5</v>
      </c>
      <c r="I159" s="165">
        <f>Цены[[#This Row],[М_1]]</f>
        <v>5</v>
      </c>
      <c r="J159" s="666">
        <f>Цены[[#This Row],[М_2]]</f>
        <v>5</v>
      </c>
      <c r="K159" s="165">
        <f>Цены[[#This Row],[М_3]]</f>
        <v>5</v>
      </c>
      <c r="L159" s="75"/>
      <c r="M159" s="75">
        <f t="shared" si="88"/>
        <v>157</v>
      </c>
      <c r="N159" s="594" t="str">
        <f>Цены[[#This Row],[Столбец1]]</f>
        <v>Окраска</v>
      </c>
      <c r="O159" s="583" t="str">
        <f t="shared" si="90"/>
        <v/>
      </c>
      <c r="P159" s="583" t="str">
        <f t="shared" si="91"/>
        <v/>
      </c>
      <c r="Q159" s="617" t="str">
        <f t="shared" si="92"/>
        <v/>
      </c>
      <c r="S159" s="32">
        <f>Цена!A159</f>
        <v>157</v>
      </c>
      <c r="T159" s="62" t="str">
        <f>Цена!C159</f>
        <v>Структурная</v>
      </c>
      <c r="U159" s="97" t="str">
        <f>IF(Бланк!$V$12="","",IF(Бланк!$F$12=T159,HLOOKUP(Бланк!$M$2,Цены[#All],S159,0),""))</f>
        <v/>
      </c>
      <c r="V159" s="32">
        <f t="shared" ref="V159:V169" si="93">A159</f>
        <v>157</v>
      </c>
      <c r="W159" s="10" t="str">
        <f t="shared" ref="W159:W169" si="94">T159</f>
        <v>Структурная</v>
      </c>
      <c r="X159" s="97" t="str">
        <f>IF(Бланк!$V$28="","",IF(Бланк!$F$28=W159,HLOOKUP(Бланк!$M$2,Цены[#All],V159,0),""))</f>
        <v/>
      </c>
      <c r="Z159" s="32">
        <f t="shared" ref="Z159:Z168" si="95">S159</f>
        <v>157</v>
      </c>
      <c r="AA159" s="10" t="str">
        <f t="shared" ref="AA159:AA168" si="96">T159</f>
        <v>Структурная</v>
      </c>
      <c r="AB159" s="97" t="str">
        <f>IF(Бланк!$V$44="","",IF(Бланк!$F$44=AA159,HLOOKUP(Бланк!$M$2,Цены[#All],Z159,0),""))</f>
        <v/>
      </c>
    </row>
    <row r="160" spans="1:28" s="39" customFormat="1" ht="15.75">
      <c r="A160" s="39">
        <f t="shared" si="71"/>
        <v>158</v>
      </c>
      <c r="B160" s="117" t="s">
        <v>1196</v>
      </c>
      <c r="C160" s="9" t="str">
        <f>C144</f>
        <v>Грунтовка щита МДФ</v>
      </c>
      <c r="D160" s="738">
        <f>D159</f>
        <v>5</v>
      </c>
      <c r="E160" s="165">
        <f>Цены[[#This Row],[О_0]]</f>
        <v>5</v>
      </c>
      <c r="F160" s="165">
        <f>Цены[[#This Row],[О_1]]</f>
        <v>5</v>
      </c>
      <c r="G160" s="165">
        <f>Цены[[#This Row],[О_2]]</f>
        <v>5</v>
      </c>
      <c r="H160" s="154">
        <f>Цены[[#This Row],[М_0]]</f>
        <v>5</v>
      </c>
      <c r="I160" s="165">
        <f>Цены[[#This Row],[М_1]]</f>
        <v>5</v>
      </c>
      <c r="J160" s="666">
        <f>Цены[[#This Row],[М_2]]</f>
        <v>5</v>
      </c>
      <c r="K160" s="165">
        <f>Цены[[#This Row],[М_3]]</f>
        <v>5</v>
      </c>
      <c r="L160" s="75"/>
      <c r="M160" s="75">
        <f t="shared" si="88"/>
        <v>158</v>
      </c>
      <c r="N160" s="594" t="str">
        <f>Цены[[#This Row],[Столбец1]]</f>
        <v>Наличника</v>
      </c>
      <c r="O160" s="583" t="str">
        <f t="shared" si="90"/>
        <v/>
      </c>
      <c r="P160" s="583" t="str">
        <f t="shared" si="91"/>
        <v/>
      </c>
      <c r="Q160" s="617" t="str">
        <f t="shared" si="92"/>
        <v/>
      </c>
      <c r="S160" s="32">
        <f>Цена!A160</f>
        <v>158</v>
      </c>
      <c r="T160" s="62" t="str">
        <f>Цена!C160</f>
        <v>Грунтовка щита МДФ</v>
      </c>
      <c r="U160" s="97" t="str">
        <f>IF(Бланк!$V$12="","",IF(Бланк!$F$12=T168,HLOOKUP(Бланк!$M$2,Цены[#All],S168,0),""))</f>
        <v/>
      </c>
      <c r="V160" s="32">
        <f t="shared" si="93"/>
        <v>158</v>
      </c>
      <c r="W160" s="10" t="str">
        <f t="shared" si="94"/>
        <v>Грунтовка щита МДФ</v>
      </c>
      <c r="X160" s="97" t="str">
        <f>IF(Бланк!$V$28="","",IF(Бланк!$F$28=W160,HLOOKUP(Бланк!$M$2,Цены[#All],V160,0),""))</f>
        <v/>
      </c>
      <c r="Z160" s="32">
        <f t="shared" si="95"/>
        <v>158</v>
      </c>
      <c r="AA160" s="10" t="str">
        <f t="shared" si="96"/>
        <v>Грунтовка щита МДФ</v>
      </c>
      <c r="AB160" s="97" t="str">
        <f>IF(Бланк!$V$44="","",IF(Бланк!$F$44=AA160,HLOOKUP(Бланк!$M$2,Цены[#All],Z160,0),""))</f>
        <v/>
      </c>
    </row>
    <row r="161" spans="1:28" ht="15.75">
      <c r="A161" s="39">
        <f t="shared" si="71"/>
        <v>159</v>
      </c>
      <c r="B161" s="659" t="s">
        <v>78</v>
      </c>
      <c r="C161" s="419" t="str">
        <f>Профдекор[[#Headers],[ПВХ_Стандарт]]</f>
        <v>ПВХ_Стандарт</v>
      </c>
      <c r="D161" s="571">
        <f>D153</f>
        <v>16</v>
      </c>
      <c r="E161" s="572">
        <f>Цены[[#This Row],[О_0]]</f>
        <v>16</v>
      </c>
      <c r="F161" s="571">
        <f>Цены[[#This Row],[О_1]]</f>
        <v>16</v>
      </c>
      <c r="G161" s="571">
        <f>Цены[[#This Row],[О_2]]</f>
        <v>16</v>
      </c>
      <c r="H161" s="380">
        <f>Цены[[#This Row],[М_0]]</f>
        <v>16</v>
      </c>
      <c r="I161" s="571">
        <f>Цены[[#This Row],[М_1]]</f>
        <v>16</v>
      </c>
      <c r="J161" s="420">
        <f>Цены[[#This Row],[М_2]]</f>
        <v>16</v>
      </c>
      <c r="K161" s="572">
        <f>Цены[[#This Row],[М_3]]</f>
        <v>16</v>
      </c>
      <c r="L161" s="75"/>
      <c r="M161" s="75">
        <f t="shared" si="88"/>
        <v>159</v>
      </c>
      <c r="N161" s="594" t="str">
        <f>Цены[[#This Row],[Столбец1]]</f>
        <v>Портал</v>
      </c>
      <c r="O161" s="583" t="str">
        <f t="shared" si="90"/>
        <v/>
      </c>
      <c r="P161" s="583" t="str">
        <f t="shared" si="91"/>
        <v/>
      </c>
      <c r="Q161" s="617" t="str">
        <f t="shared" si="92"/>
        <v/>
      </c>
      <c r="S161" s="32">
        <f>Цена!A161</f>
        <v>159</v>
      </c>
      <c r="T161" s="62" t="str">
        <f>Цена!C161</f>
        <v>ПВХ_Стандарт</v>
      </c>
      <c r="U161" s="97" t="str">
        <f>IF(Бланк!$S$11="","",Цены[[#This Row],[О_0]])</f>
        <v/>
      </c>
      <c r="V161" s="32">
        <f t="shared" si="93"/>
        <v>159</v>
      </c>
      <c r="W161" s="10" t="str">
        <f t="shared" si="94"/>
        <v>ПВХ_Стандарт</v>
      </c>
      <c r="X161" s="97" t="str">
        <f>IF(Бланк!$S$27="","",Цены[[#This Row],[О_0]])</f>
        <v/>
      </c>
      <c r="Z161" s="32">
        <f t="shared" si="95"/>
        <v>159</v>
      </c>
      <c r="AA161" s="10" t="str">
        <f t="shared" si="96"/>
        <v>ПВХ_Стандарт</v>
      </c>
      <c r="AB161" s="97" t="str">
        <f>IF(Бланк!$S$43="","",Цены[[#This Row],[О_0]])</f>
        <v/>
      </c>
    </row>
    <row r="162" spans="1:28" ht="15.75">
      <c r="A162" s="39">
        <f t="shared" si="71"/>
        <v>160</v>
      </c>
      <c r="B162" s="117"/>
      <c r="C162" s="419"/>
      <c r="D162" s="571"/>
      <c r="E162" s="572"/>
      <c r="F162" s="571"/>
      <c r="G162" s="571"/>
      <c r="H162" s="380"/>
      <c r="I162" s="571"/>
      <c r="J162" s="420"/>
      <c r="K162" s="572"/>
      <c r="L162" s="75"/>
      <c r="M162" s="75">
        <f t="shared" si="88"/>
        <v>160</v>
      </c>
      <c r="N162" s="594" t="str">
        <f>N161</f>
        <v>Портал</v>
      </c>
      <c r="O162" s="583" t="str">
        <f t="shared" si="90"/>
        <v/>
      </c>
      <c r="P162" s="583" t="str">
        <f t="shared" si="91"/>
        <v/>
      </c>
      <c r="Q162" s="617" t="str">
        <f t="shared" si="92"/>
        <v/>
      </c>
      <c r="S162" s="32">
        <f>Цена!A162</f>
        <v>160</v>
      </c>
      <c r="T162" s="62">
        <f>Цена!C162</f>
        <v>0</v>
      </c>
      <c r="U162" s="97" t="str">
        <f>IF(Бланк!$S$11="","",IF(Бланк!$F$12=T162,HLOOKUP(Бланк!$M$2,Цены[#All],S162,0),""))</f>
        <v/>
      </c>
      <c r="V162" s="32">
        <f t="shared" si="93"/>
        <v>160</v>
      </c>
      <c r="W162" s="10">
        <f t="shared" si="94"/>
        <v>0</v>
      </c>
      <c r="X162" s="97" t="str">
        <f>IF(Бланк!$S$27="","",IF(Бланк!$F$28=W162,HLOOKUP(Бланк!$M$18,Цены[#All],V162,0),""))</f>
        <v/>
      </c>
      <c r="Z162" s="32">
        <f t="shared" si="95"/>
        <v>160</v>
      </c>
      <c r="AA162" s="10">
        <f t="shared" si="96"/>
        <v>0</v>
      </c>
      <c r="AB162" s="97" t="str">
        <f>IF(Бланк!$S$43="","",IF(Бланк!$F$44=AA162,HLOOKUP(Бланк!$M$34,Цены[#All],Z162,0),""))</f>
        <v/>
      </c>
    </row>
    <row r="163" spans="1:28" ht="15.75">
      <c r="A163" s="39">
        <f t="shared" si="71"/>
        <v>161</v>
      </c>
      <c r="B163" s="117"/>
      <c r="C163" s="419"/>
      <c r="D163" s="571"/>
      <c r="E163" s="572"/>
      <c r="F163" s="571"/>
      <c r="G163" s="571"/>
      <c r="H163" s="380"/>
      <c r="I163" s="571"/>
      <c r="J163" s="420"/>
      <c r="K163" s="572"/>
      <c r="L163" s="75"/>
      <c r="M163" s="75">
        <f t="shared" si="88"/>
        <v>161</v>
      </c>
      <c r="N163" s="594" t="str">
        <f t="shared" ref="N163:N165" si="97">N162</f>
        <v>Портал</v>
      </c>
      <c r="O163" s="583" t="str">
        <f t="shared" si="90"/>
        <v/>
      </c>
      <c r="P163" s="583" t="str">
        <f t="shared" si="91"/>
        <v/>
      </c>
      <c r="Q163" s="617" t="str">
        <f t="shared" si="92"/>
        <v/>
      </c>
      <c r="S163" s="32">
        <f>Цена!A163</f>
        <v>161</v>
      </c>
      <c r="T163" s="62">
        <f>Цена!C163</f>
        <v>0</v>
      </c>
      <c r="U163" s="97" t="str">
        <f>IF(Бланк!$S$11="","",IF(Бланк!$F$12=T163,HLOOKUP(Бланк!$M$2,Цены[#All],S163,0),""))</f>
        <v/>
      </c>
      <c r="V163" s="32">
        <f t="shared" si="93"/>
        <v>161</v>
      </c>
      <c r="W163" s="10">
        <f t="shared" si="94"/>
        <v>0</v>
      </c>
      <c r="X163" s="97" t="str">
        <f>IF(Бланк!$S$27="","",IF(Бланк!$F$28=W163,HLOOKUP(Бланк!$M$18,Цены[#All],V163,0),""))</f>
        <v/>
      </c>
      <c r="Z163" s="32">
        <f t="shared" si="95"/>
        <v>161</v>
      </c>
      <c r="AA163" s="10">
        <f t="shared" si="96"/>
        <v>0</v>
      </c>
      <c r="AB163" s="97" t="str">
        <f>IF(Бланк!$S$43="","",IF(Бланк!$F$44=AA163,HLOOKUP(Бланк!$M$34,Цены[#All],Z163,0),""))</f>
        <v/>
      </c>
    </row>
    <row r="164" spans="1:28" s="39" customFormat="1" ht="15.75">
      <c r="A164" s="39">
        <f t="shared" si="71"/>
        <v>162</v>
      </c>
      <c r="B164" s="117"/>
      <c r="C164" s="419"/>
      <c r="D164" s="571"/>
      <c r="E164" s="572"/>
      <c r="F164" s="571"/>
      <c r="G164" s="571"/>
      <c r="H164" s="380"/>
      <c r="I164" s="571"/>
      <c r="J164" s="420"/>
      <c r="K164" s="572"/>
      <c r="L164" s="75"/>
      <c r="M164" s="75">
        <f t="shared" si="88"/>
        <v>162</v>
      </c>
      <c r="N164" s="594" t="str">
        <f t="shared" si="97"/>
        <v>Портал</v>
      </c>
      <c r="O164" s="583" t="str">
        <f t="shared" si="90"/>
        <v/>
      </c>
      <c r="P164" s="583" t="str">
        <f t="shared" si="91"/>
        <v/>
      </c>
      <c r="Q164" s="617" t="str">
        <f t="shared" si="92"/>
        <v/>
      </c>
      <c r="S164" s="32">
        <f>Цена!A164</f>
        <v>162</v>
      </c>
      <c r="T164" s="62">
        <f>Цена!C164</f>
        <v>0</v>
      </c>
      <c r="U164" s="97" t="str">
        <f>IF(Бланк!$S$11="","",IF(Бланк!$F$12=T164,HLOOKUP(Бланк!$M$2,Цены[#All],S164,0),""))</f>
        <v/>
      </c>
      <c r="V164" s="32">
        <f t="shared" si="93"/>
        <v>162</v>
      </c>
      <c r="W164" s="10">
        <f t="shared" si="94"/>
        <v>0</v>
      </c>
      <c r="X164" s="97" t="str">
        <f>IF(Бланк!$S$27="","",IF(Бланк!$F$28=W164,HLOOKUP(Бланк!$M$18,Цены[#All],V164,0),""))</f>
        <v/>
      </c>
      <c r="Z164" s="32">
        <f t="shared" si="95"/>
        <v>162</v>
      </c>
      <c r="AA164" s="10">
        <f t="shared" si="96"/>
        <v>0</v>
      </c>
      <c r="AB164" s="97" t="str">
        <f>IF(Бланк!$S$43="","",IF(Бланк!$F$44=AA164,HLOOKUP(Бланк!$M$34,Цены[#All],Z164,0),""))</f>
        <v/>
      </c>
    </row>
    <row r="165" spans="1:28" ht="15.75">
      <c r="A165" s="39">
        <f t="shared" si="71"/>
        <v>163</v>
      </c>
      <c r="B165" s="117"/>
      <c r="C165" s="419"/>
      <c r="D165" s="571"/>
      <c r="E165" s="572"/>
      <c r="F165" s="571"/>
      <c r="G165" s="571"/>
      <c r="H165" s="380"/>
      <c r="I165" s="571"/>
      <c r="J165" s="420"/>
      <c r="K165" s="572"/>
      <c r="L165" s="75"/>
      <c r="M165" s="75">
        <f t="shared" si="88"/>
        <v>163</v>
      </c>
      <c r="N165" s="594" t="str">
        <f t="shared" si="97"/>
        <v>Портал</v>
      </c>
      <c r="O165" s="583" t="str">
        <f t="shared" si="90"/>
        <v/>
      </c>
      <c r="P165" s="583" t="str">
        <f t="shared" si="91"/>
        <v/>
      </c>
      <c r="Q165" s="617" t="str">
        <f t="shared" si="92"/>
        <v/>
      </c>
      <c r="S165" s="32">
        <f>Цена!A165</f>
        <v>163</v>
      </c>
      <c r="T165" s="62">
        <f>Цена!C165</f>
        <v>0</v>
      </c>
      <c r="U165" s="97" t="str">
        <f>IF(Бланк!$S$11="","",IF(Бланк!$F$12=T165,HLOOKUP(Бланк!$M$2,Цены[#All],S165,0)+U169,""))</f>
        <v/>
      </c>
      <c r="V165" s="32">
        <f t="shared" si="93"/>
        <v>163</v>
      </c>
      <c r="W165" s="10">
        <f t="shared" si="94"/>
        <v>0</v>
      </c>
      <c r="X165" s="97" t="str">
        <f>IF(Бланк!$S$27="","",IF(Бланк!$F$28=W165,HLOOKUP(Бланк!$M$18,Цены[#All],V165,0)+X169,""))</f>
        <v/>
      </c>
      <c r="Z165" s="32">
        <f t="shared" si="95"/>
        <v>163</v>
      </c>
      <c r="AA165" s="10">
        <f t="shared" si="96"/>
        <v>0</v>
      </c>
      <c r="AB165" s="97" t="str">
        <f>IF(Бланк!$S$43="","",IF(Бланк!$F$44=AA165,HLOOKUP(Бланк!$M$34,Цены[#All],Z165,0)+AB169,""))</f>
        <v/>
      </c>
    </row>
    <row r="166" spans="1:28" ht="15.75">
      <c r="A166" s="39">
        <f t="shared" si="71"/>
        <v>164</v>
      </c>
      <c r="B166" s="117" t="s">
        <v>358</v>
      </c>
      <c r="C166" s="9" t="s">
        <v>5</v>
      </c>
      <c r="D166" s="738">
        <f t="shared" ref="D166:J166" si="98">D158</f>
        <v>5</v>
      </c>
      <c r="E166" s="165">
        <f t="shared" si="98"/>
        <v>5</v>
      </c>
      <c r="F166" s="738">
        <f t="shared" si="98"/>
        <v>5</v>
      </c>
      <c r="G166" s="738">
        <f t="shared" si="98"/>
        <v>5</v>
      </c>
      <c r="H166" s="15">
        <f t="shared" si="98"/>
        <v>5</v>
      </c>
      <c r="I166" s="738">
        <f t="shared" si="98"/>
        <v>5</v>
      </c>
      <c r="J166" s="119">
        <f t="shared" si="98"/>
        <v>5</v>
      </c>
      <c r="K166" s="165">
        <f t="shared" ref="K166" si="99">K158</f>
        <v>5</v>
      </c>
      <c r="L166" s="75"/>
      <c r="M166" s="75">
        <f t="shared" si="88"/>
        <v>164</v>
      </c>
      <c r="N166" s="594" t="str">
        <f>Цены[[#This Row],[Столбец1]]</f>
        <v>к Винориту</v>
      </c>
      <c r="O166" s="583" t="str">
        <f t="shared" si="90"/>
        <v/>
      </c>
      <c r="P166" s="583" t="str">
        <f t="shared" si="91"/>
        <v/>
      </c>
      <c r="Q166" s="617" t="str">
        <f t="shared" si="92"/>
        <v/>
      </c>
      <c r="S166" s="32">
        <f>Цена!A166</f>
        <v>164</v>
      </c>
      <c r="T166" s="62" t="str">
        <f>Цена!C166</f>
        <v>Патина</v>
      </c>
      <c r="U166" s="97" t="str">
        <f>IF(Бланк!$S$11="","",IF(Бланк!$O$12="","",IF(Бланк!$O$12=T166,HLOOKUP(Бланк!$M$2,Цены[#All],S166,0),"")))</f>
        <v/>
      </c>
      <c r="V166" s="32">
        <f t="shared" si="93"/>
        <v>164</v>
      </c>
      <c r="W166" s="10" t="str">
        <f t="shared" si="94"/>
        <v>Патина</v>
      </c>
      <c r="X166" s="97" t="str">
        <f>IF(Бланк!$S$27="","",IF(Бланк!$O$28="","",IF(Бланк!$O$28=W166,HLOOKUP(Бланк!$M$18,Цены[#All],V166,0),"")))</f>
        <v/>
      </c>
      <c r="Z166" s="32">
        <f t="shared" si="95"/>
        <v>164</v>
      </c>
      <c r="AA166" s="10" t="str">
        <f t="shared" si="96"/>
        <v>Патина</v>
      </c>
      <c r="AB166" s="97" t="str">
        <f>IF(Бланк!$S$43="","",IF(Бланк!$O$44="","",IF(Бланк!$O$44=AA166,HLOOKUP(Бланк!$M$34,Цены[#All],Z166,0),"")))</f>
        <v/>
      </c>
    </row>
    <row r="167" spans="1:28" s="39" customFormat="1" ht="15.75">
      <c r="A167" s="39">
        <f t="shared" si="71"/>
        <v>165</v>
      </c>
      <c r="B167" s="117" t="s">
        <v>717</v>
      </c>
      <c r="C167" s="9" t="str">
        <f>C143</f>
        <v>Структурная</v>
      </c>
      <c r="D167" s="300">
        <f>D164+D166</f>
        <v>5</v>
      </c>
      <c r="E167" s="165">
        <f>Цены[[#This Row],[О_0]]</f>
        <v>5</v>
      </c>
      <c r="F167" s="165">
        <f>Цены[[#This Row],[О_1]]</f>
        <v>5</v>
      </c>
      <c r="G167" s="165">
        <f>Цены[[#This Row],[О_2]]</f>
        <v>5</v>
      </c>
      <c r="H167" s="154">
        <f>Цены[[#This Row],[М_0]]</f>
        <v>5</v>
      </c>
      <c r="I167" s="165">
        <f>Цены[[#This Row],[М_1]]</f>
        <v>5</v>
      </c>
      <c r="J167" s="666">
        <f>Цены[[#This Row],[М_2]]</f>
        <v>5</v>
      </c>
      <c r="K167" s="165">
        <f>Цены[[#This Row],[М_3]]</f>
        <v>5</v>
      </c>
      <c r="L167" s="75"/>
      <c r="M167" s="75">
        <f t="shared" si="88"/>
        <v>165</v>
      </c>
      <c r="N167" s="594" t="str">
        <f>Цены[[#This Row],[Столбец1]]</f>
        <v xml:space="preserve">Окраска </v>
      </c>
      <c r="O167" s="583" t="str">
        <f t="shared" si="90"/>
        <v/>
      </c>
      <c r="P167" s="583" t="str">
        <f t="shared" si="91"/>
        <v/>
      </c>
      <c r="Q167" s="617" t="str">
        <f t="shared" si="92"/>
        <v/>
      </c>
      <c r="S167" s="32">
        <f>Цена!A167</f>
        <v>165</v>
      </c>
      <c r="T167" s="62" t="str">
        <f>Цена!C167</f>
        <v>Структурная</v>
      </c>
      <c r="U167" s="97" t="str">
        <f>IF(Бланк!$E$12="","",IF(AND(Бланк!$F$12=T167,Бланк!O12="Патина",Бланк!S11="Портал:"),HLOOKUP(Бланк!$M$2,Цены[#All],S167,0),""))</f>
        <v/>
      </c>
      <c r="V167" s="32">
        <f t="shared" si="93"/>
        <v>165</v>
      </c>
      <c r="W167" s="10" t="str">
        <f t="shared" si="94"/>
        <v>Структурная</v>
      </c>
      <c r="X167" s="97" t="str">
        <f>IF(Бланк!$E$28="","",IF(AND(Бланк!$F$28=W167,Бланк!P28="Патина",Бланк!S27="портал:"),HLOOKUP(Бланк!$M$2,Цены[#All],V167,0),""))</f>
        <v/>
      </c>
      <c r="Z167" s="32">
        <f t="shared" si="95"/>
        <v>165</v>
      </c>
      <c r="AA167" s="10" t="str">
        <f t="shared" si="96"/>
        <v>Структурная</v>
      </c>
      <c r="AB167" s="97" t="str">
        <f>IF(Бланк!$E$44="","",IF(AND(Бланк!$F$44=AA167,Бланк!P44="Патина",Бланк!S43="портал:"),HLOOKUP(Бланк!$M$2,Цены[#All],Z167,0),""))</f>
        <v/>
      </c>
    </row>
    <row r="168" spans="1:28" s="39" customFormat="1" ht="15.75">
      <c r="A168" s="39">
        <f t="shared" si="71"/>
        <v>166</v>
      </c>
      <c r="B168" s="117" t="s">
        <v>1195</v>
      </c>
      <c r="C168" s="9" t="str">
        <f>C144</f>
        <v>Грунтовка щита МДФ</v>
      </c>
      <c r="D168" s="738">
        <f>D167</f>
        <v>5</v>
      </c>
      <c r="E168" s="165">
        <f t="shared" ref="E168:K168" si="100">E167</f>
        <v>5</v>
      </c>
      <c r="F168" s="738">
        <f t="shared" si="100"/>
        <v>5</v>
      </c>
      <c r="G168" s="738">
        <f t="shared" si="100"/>
        <v>5</v>
      </c>
      <c r="H168" s="15">
        <f t="shared" si="100"/>
        <v>5</v>
      </c>
      <c r="I168" s="738">
        <f t="shared" si="100"/>
        <v>5</v>
      </c>
      <c r="J168" s="119">
        <f t="shared" si="100"/>
        <v>5</v>
      </c>
      <c r="K168" s="165">
        <f t="shared" si="100"/>
        <v>5</v>
      </c>
      <c r="L168" s="75"/>
      <c r="M168" s="75">
        <f t="shared" si="88"/>
        <v>166</v>
      </c>
      <c r="N168" s="594" t="str">
        <f>Цены[[#This Row],[Столбец1]]</f>
        <v>портала</v>
      </c>
      <c r="O168" s="583" t="str">
        <f t="shared" si="90"/>
        <v/>
      </c>
      <c r="P168" s="583" t="str">
        <f t="shared" si="91"/>
        <v/>
      </c>
      <c r="Q168" s="617" t="str">
        <f t="shared" si="92"/>
        <v/>
      </c>
      <c r="S168" s="32">
        <f>Цена!A168</f>
        <v>166</v>
      </c>
      <c r="T168" s="62" t="str">
        <f>Цена!C168</f>
        <v>Грунтовка щита МДФ</v>
      </c>
      <c r="U168" s="97" t="str">
        <f>IF(Бланк!$E$12="","",IF(AND(Бланк!$F$12=T168,Бланк!O12="Патина",Бланк!S11="Портал:"),HLOOKUP(Бланк!$M$2,Цены[#All],S168,0),""))</f>
        <v/>
      </c>
      <c r="V168" s="32">
        <f t="shared" si="93"/>
        <v>166</v>
      </c>
      <c r="W168" s="10" t="str">
        <f t="shared" si="94"/>
        <v>Грунтовка щита МДФ</v>
      </c>
      <c r="X168" s="97" t="str">
        <f>IF(Бланк!$E$28="","",IF(AND(Бланк!$F$28=W168,Бланк!P28="Патина",Бланк!S27="портал:"),HLOOKUP(Бланк!$M$2,Цены[#All],V168,0),""))</f>
        <v/>
      </c>
      <c r="Z168" s="32">
        <f t="shared" si="95"/>
        <v>166</v>
      </c>
      <c r="AA168" s="10" t="str">
        <f t="shared" si="96"/>
        <v>Грунтовка щита МДФ</v>
      </c>
      <c r="AB168" s="97" t="str">
        <f>IF(Бланк!$E$44="","",IF(AND(Бланк!$F$44=AA168,Бланк!P44="Патина",Бланк!S43="портал:"),HLOOKUP(Бланк!$M$2,Цены[#All],Z168,0),""))</f>
        <v/>
      </c>
    </row>
    <row r="169" spans="1:28" s="39" customFormat="1">
      <c r="A169" s="39">
        <f t="shared" si="71"/>
        <v>167</v>
      </c>
      <c r="B169" s="125" t="s">
        <v>359</v>
      </c>
      <c r="C169" s="9"/>
      <c r="D169" s="15"/>
      <c r="E169" s="154"/>
      <c r="F169" s="15"/>
      <c r="G169" s="15"/>
      <c r="H169" s="15"/>
      <c r="I169" s="15"/>
      <c r="J169" s="119"/>
      <c r="K169" s="154"/>
      <c r="L169" s="587"/>
      <c r="M169" s="75">
        <f t="shared" si="88"/>
        <v>167</v>
      </c>
      <c r="N169" s="597" t="str">
        <f>Цены[[#This Row],[Столбец1]]</f>
        <v>увеличение ширины портала</v>
      </c>
      <c r="O169" s="583" t="str">
        <f t="shared" ref="O169:O251" si="101">IF(U169=$V$1,"Ошибка-1","")</f>
        <v/>
      </c>
      <c r="P169" s="583" t="str">
        <f t="shared" ref="P169:P251" si="102">IF(X169=$V$1,"Ошибка-2","")</f>
        <v/>
      </c>
      <c r="Q169" s="617" t="str">
        <f t="shared" ref="Q169:Q251" si="103">IF(AB169=$V$1,"Ошибка-3","")</f>
        <v/>
      </c>
      <c r="S169" s="32">
        <f>Цена!A169</f>
        <v>167</v>
      </c>
      <c r="T169" s="62">
        <f>Цена!C169</f>
        <v>0</v>
      </c>
      <c r="U169" s="98" t="str">
        <f>IF(Бланк!$S$11="портал:",IF(Бланк!V11&gt;100,IF(OR(Бланк!E12="окраска",AND(Бланк!F12="винорит",Бланк!P12="патина")),(Бланк!V11-100)/10*3,(Бланк!V11-100)/10*2)),"")</f>
        <v/>
      </c>
      <c r="V169" s="32">
        <f t="shared" si="93"/>
        <v>167</v>
      </c>
      <c r="W169" s="10">
        <f t="shared" si="94"/>
        <v>0</v>
      </c>
      <c r="X169" s="98" t="str">
        <f>IF(Бланк!$S$27="портал:",IF(Бланк!V27&gt;100,IF(OR(Бланк!E28="окраска",AND(Бланк!F28="винорит",Бланк!P28="патина")),(Бланк!V27-100)/10*3,(Бланк!V27-100)/10*2)),"")</f>
        <v/>
      </c>
      <c r="Z169" s="32">
        <f t="shared" si="63"/>
        <v>167</v>
      </c>
      <c r="AA169" s="10">
        <f t="shared" si="65"/>
        <v>0</v>
      </c>
      <c r="AB169" s="98" t="str">
        <f>IF(Бланк!S43="портал:",IF(Бланк!V43&gt;100,IF(OR(Бланк!E44="окраска",AND(Бланк!F44="винорит",Бланк!P44="патина")),(Бланк!V43-100)/10*3,(Бланк!V43-100)/10*2)),"")</f>
        <v/>
      </c>
    </row>
    <row r="170" spans="1:28" s="39" customFormat="1">
      <c r="A170" s="39">
        <f t="shared" si="71"/>
        <v>168</v>
      </c>
      <c r="B170" s="125" t="s">
        <v>913</v>
      </c>
      <c r="C170" s="9"/>
      <c r="D170" s="15"/>
      <c r="E170" s="154"/>
      <c r="F170" s="15"/>
      <c r="G170" s="15"/>
      <c r="H170" s="15"/>
      <c r="I170" s="15"/>
      <c r="J170" s="119"/>
      <c r="K170" s="154"/>
      <c r="L170" s="589"/>
      <c r="M170" s="75">
        <f t="shared" si="88"/>
        <v>168</v>
      </c>
      <c r="N170" s="597" t="str">
        <f>Цены[[#This Row],[Столбец1]]</f>
        <v>увеличение толщины портала</v>
      </c>
      <c r="O170" s="583" t="str">
        <f t="shared" si="101"/>
        <v/>
      </c>
      <c r="P170" s="583" t="str">
        <f t="shared" si="102"/>
        <v/>
      </c>
      <c r="Q170" s="617" t="str">
        <f t="shared" si="103"/>
        <v/>
      </c>
      <c r="S170" s="32">
        <f>Цена!A170</f>
        <v>168</v>
      </c>
      <c r="T170" s="62"/>
      <c r="U170" s="98">
        <f>IF(AND(Бланк!$M$2="Индивид.",Бланк!$H$11="_8мм"),"",IF(Бланк!$H$11="_12мм",0,IF(AND(Бланк!$S$11="портал:",Бланк!$H$11="_16мм"),5,0)))</f>
        <v>0</v>
      </c>
      <c r="V170" s="32">
        <f t="shared" ref="V170:V215" si="104">A170</f>
        <v>168</v>
      </c>
      <c r="W170" s="10"/>
      <c r="X170" s="98">
        <f>IF(Бланк!$H$27="_8мм",0,IF(AND(Бланк!$S$27="портал:",Бланк!$H$27="_16мм"),5,0))</f>
        <v>0</v>
      </c>
      <c r="Z170" s="32">
        <f t="shared" si="63"/>
        <v>168</v>
      </c>
      <c r="AA170" s="10"/>
      <c r="AB170" s="98">
        <f>IF(Бланк!$H$43="_8мм",0,IF(AND(Бланк!$S$43="портал:",Бланк!$H$43="_16мм"),5,0))</f>
        <v>0</v>
      </c>
    </row>
    <row r="171" spans="1:28" s="39" customFormat="1">
      <c r="A171" s="39">
        <f t="shared" si="71"/>
        <v>169</v>
      </c>
      <c r="B171" s="125" t="s">
        <v>946</v>
      </c>
      <c r="C171" s="9"/>
      <c r="D171" s="15"/>
      <c r="E171" s="154"/>
      <c r="F171" s="15"/>
      <c r="G171" s="15"/>
      <c r="H171" s="15"/>
      <c r="I171" s="15"/>
      <c r="J171" s="119"/>
      <c r="K171" s="154"/>
      <c r="L171" s="589"/>
      <c r="M171" s="75">
        <f t="shared" si="88"/>
        <v>169</v>
      </c>
      <c r="N171" s="597" t="str">
        <f>Цены[[#This Row],[Столбец1]]</f>
        <v>увеличение высоты портала</v>
      </c>
      <c r="O171" s="583" t="str">
        <f t="shared" si="101"/>
        <v/>
      </c>
      <c r="P171" s="583" t="str">
        <f t="shared" si="102"/>
        <v/>
      </c>
      <c r="Q171" s="617" t="str">
        <f t="shared" si="103"/>
        <v/>
      </c>
      <c r="S171" s="32">
        <f>Цена!A171</f>
        <v>169</v>
      </c>
      <c r="T171" s="62"/>
      <c r="U171" s="98" t="str">
        <f>IF(Бланк!X11&gt;2070,(U169+U170+SUM(U154:U166))*0.3,"")</f>
        <v/>
      </c>
      <c r="V171" s="32">
        <f t="shared" si="104"/>
        <v>169</v>
      </c>
      <c r="W171" s="10"/>
      <c r="X171" s="784" t="str">
        <f>IF(Бланк!X27&gt;2070,(X169+X170+SUM(X154:X166))*0.3,"")</f>
        <v/>
      </c>
      <c r="Z171" s="32">
        <f t="shared" si="63"/>
        <v>169</v>
      </c>
      <c r="AA171" s="10"/>
      <c r="AB171" s="784" t="str">
        <f>IF(Бланк!X43&gt;2070,(AB169+AB170+SUM(AB154:AB166))*0.3,"")</f>
        <v/>
      </c>
    </row>
    <row r="172" spans="1:28" s="39" customFormat="1" ht="15.75">
      <c r="A172" s="39">
        <f t="shared" si="71"/>
        <v>170</v>
      </c>
      <c r="B172" s="125" t="s">
        <v>607</v>
      </c>
      <c r="C172" s="9"/>
      <c r="D172" s="738"/>
      <c r="E172" s="154"/>
      <c r="F172" s="15"/>
      <c r="G172" s="738"/>
      <c r="H172" s="15"/>
      <c r="I172" s="15"/>
      <c r="J172" s="119"/>
      <c r="K172" s="154"/>
      <c r="L172" s="589"/>
      <c r="M172" s="75">
        <f t="shared" si="88"/>
        <v>170</v>
      </c>
      <c r="N172" s="597" t="str">
        <f>Цены[[#This Row],[Столбец1]]</f>
        <v>увеличение наличника к порталу</v>
      </c>
      <c r="O172" s="583" t="str">
        <f t="shared" si="101"/>
        <v/>
      </c>
      <c r="P172" s="583" t="str">
        <f t="shared" si="102"/>
        <v/>
      </c>
      <c r="Q172" s="617" t="str">
        <f t="shared" si="103"/>
        <v/>
      </c>
      <c r="S172" s="32">
        <f>Цена!A172</f>
        <v>170</v>
      </c>
      <c r="T172" s="63"/>
      <c r="U172" s="155">
        <f>IF((Бланк!X12-50)&lt;0,0,(Бланк!X12-70)/10*2)</f>
        <v>0</v>
      </c>
      <c r="V172" s="32">
        <f t="shared" si="104"/>
        <v>170</v>
      </c>
      <c r="W172" s="10"/>
      <c r="X172" s="155">
        <f>IF((Бланк!X28-50)&lt;0,0,(Бланк!X28-70)/10*2)</f>
        <v>0</v>
      </c>
      <c r="Z172" s="32">
        <f t="shared" si="63"/>
        <v>170</v>
      </c>
      <c r="AA172" s="10"/>
      <c r="AB172" s="155">
        <f>IF((Бланк!X44-50)&lt;0,0,(Бланк!X44-70)/10*2)</f>
        <v>0</v>
      </c>
    </row>
    <row r="173" spans="1:28" s="39" customFormat="1" ht="15.75">
      <c r="A173" s="39">
        <f t="shared" si="71"/>
        <v>171</v>
      </c>
      <c r="B173" s="646" t="s">
        <v>1123</v>
      </c>
      <c r="C173" s="647" t="s">
        <v>1127</v>
      </c>
      <c r="D173" s="648"/>
      <c r="E173" s="446">
        <v>5</v>
      </c>
      <c r="F173" s="649">
        <f>Цены[[#This Row],[О_1]]</f>
        <v>5</v>
      </c>
      <c r="G173" s="649"/>
      <c r="H173" s="649">
        <f>Цены[[#This Row],[О_2]]</f>
        <v>5</v>
      </c>
      <c r="I173" s="649">
        <f>Цены[[#This Row],[М_1]]</f>
        <v>5</v>
      </c>
      <c r="J173" s="753">
        <f>Цены[[#This Row],[М_2]]</f>
        <v>5</v>
      </c>
      <c r="K173" s="649">
        <f>Цены[[#This Row],[О_1]]</f>
        <v>5</v>
      </c>
      <c r="L173" s="589"/>
      <c r="M173" s="75">
        <f t="shared" si="88"/>
        <v>171</v>
      </c>
      <c r="N173" s="597" t="str">
        <f>Цены[[#This Row],[Параметр]]</f>
        <v>МА_1</v>
      </c>
      <c r="O173" s="583" t="str">
        <f t="shared" si="101"/>
        <v/>
      </c>
      <c r="P173" s="583" t="str">
        <f t="shared" si="102"/>
        <v/>
      </c>
      <c r="Q173" s="617" t="str">
        <f t="shared" si="103"/>
        <v/>
      </c>
      <c r="S173" s="32">
        <f>Цена!A173</f>
        <v>171</v>
      </c>
      <c r="T173" s="62" t="str">
        <f>Цена!C173</f>
        <v>МА_1</v>
      </c>
      <c r="U173" s="97" t="str">
        <f>IF(Бланк!$M$9=T173,HLOOKUP(Бланк!$M$2,Цены[#All],S173,0),"")</f>
        <v/>
      </c>
      <c r="V173" s="32">
        <f t="shared" ref="V173:V180" si="105">A173</f>
        <v>171</v>
      </c>
      <c r="W173" s="62" t="str">
        <f>Цены[[#This Row],[Параметр]]</f>
        <v>МА_1</v>
      </c>
      <c r="X173" s="97" t="str">
        <f>IF(Бланк!$M$25=W173,HLOOKUP(Бланк!$M$2,Цены[#All],V173,0),"")</f>
        <v/>
      </c>
      <c r="Z173" s="32">
        <f t="shared" ref="Z173:Z180" si="106">S173</f>
        <v>171</v>
      </c>
      <c r="AA173" s="10" t="str">
        <f>Цены[[#This Row],[Параметр]]</f>
        <v>МА_1</v>
      </c>
      <c r="AB173" s="97" t="str">
        <f>IF(Бланк!$M$41=AA173,HLOOKUP(Бланк!$M$2,Цены[#All],Z173,0),"")</f>
        <v/>
      </c>
    </row>
    <row r="174" spans="1:28" s="39" customFormat="1" ht="15.75">
      <c r="A174" s="39">
        <f t="shared" si="71"/>
        <v>172</v>
      </c>
      <c r="B174" s="646" t="s">
        <v>1124</v>
      </c>
      <c r="C174" s="647" t="s">
        <v>1128</v>
      </c>
      <c r="D174" s="648"/>
      <c r="E174" s="446">
        <v>8</v>
      </c>
      <c r="F174" s="649">
        <f>Цены[[#This Row],[О_1]]</f>
        <v>8</v>
      </c>
      <c r="G174" s="649"/>
      <c r="H174" s="649">
        <f>Цены[[#This Row],[О_2]]</f>
        <v>8</v>
      </c>
      <c r="I174" s="649">
        <f>Цены[[#This Row],[М_1]]</f>
        <v>8</v>
      </c>
      <c r="J174" s="753">
        <f>Цены[[#This Row],[М_2]]</f>
        <v>8</v>
      </c>
      <c r="K174" s="649">
        <f>Цены[[#This Row],[О_1]]</f>
        <v>8</v>
      </c>
      <c r="L174" s="589"/>
      <c r="M174" s="75">
        <f t="shared" si="88"/>
        <v>172</v>
      </c>
      <c r="N174" s="597" t="str">
        <f>Цены[[#This Row],[Параметр]]</f>
        <v>МА_2</v>
      </c>
      <c r="O174" s="583" t="str">
        <f t="shared" si="101"/>
        <v/>
      </c>
      <c r="P174" s="583" t="str">
        <f t="shared" si="102"/>
        <v/>
      </c>
      <c r="Q174" s="617" t="str">
        <f t="shared" si="103"/>
        <v/>
      </c>
      <c r="S174" s="32">
        <f>Цена!A174</f>
        <v>172</v>
      </c>
      <c r="T174" s="62" t="str">
        <f>Цена!C174</f>
        <v>МА_2</v>
      </c>
      <c r="U174" s="97" t="str">
        <f>IF(Бланк!$M$9=T174,HLOOKUP(Бланк!$M$2,Цены[#All],S174,0),"")</f>
        <v/>
      </c>
      <c r="V174" s="32">
        <f t="shared" si="105"/>
        <v>172</v>
      </c>
      <c r="W174" s="62" t="str">
        <f>Цены[[#This Row],[Параметр]]</f>
        <v>МА_2</v>
      </c>
      <c r="X174" s="97" t="str">
        <f>IF(Бланк!$M$25=W174,HLOOKUP(Бланк!$M$2,Цены[#All],V174,0),"")</f>
        <v/>
      </c>
      <c r="Z174" s="32">
        <f t="shared" si="106"/>
        <v>172</v>
      </c>
      <c r="AA174" s="10" t="str">
        <f>Цены[[#This Row],[Параметр]]</f>
        <v>МА_2</v>
      </c>
      <c r="AB174" s="97" t="str">
        <f>IF(Бланк!$M$41=AA174,HLOOKUP(Бланк!$M$2,Цены[#All],Z174,0),"")</f>
        <v/>
      </c>
    </row>
    <row r="175" spans="1:28" s="39" customFormat="1" ht="15.75">
      <c r="A175" s="39">
        <f t="shared" si="71"/>
        <v>173</v>
      </c>
      <c r="B175" s="646" t="s">
        <v>1125</v>
      </c>
      <c r="C175" s="647" t="s">
        <v>1129</v>
      </c>
      <c r="D175" s="648"/>
      <c r="E175" s="446">
        <v>11</v>
      </c>
      <c r="F175" s="649">
        <f>Цены[[#This Row],[О_1]]</f>
        <v>11</v>
      </c>
      <c r="G175" s="649"/>
      <c r="H175" s="649">
        <f>Цены[[#This Row],[О_2]]</f>
        <v>11</v>
      </c>
      <c r="I175" s="649">
        <f>Цены[[#This Row],[М_1]]</f>
        <v>11</v>
      </c>
      <c r="J175" s="753">
        <f>Цены[[#This Row],[М_2]]</f>
        <v>11</v>
      </c>
      <c r="K175" s="649">
        <f>Цены[[#This Row],[О_1]]</f>
        <v>11</v>
      </c>
      <c r="L175" s="589"/>
      <c r="M175" s="75">
        <f t="shared" si="88"/>
        <v>173</v>
      </c>
      <c r="N175" s="597" t="str">
        <f>Цены[[#This Row],[Параметр]]</f>
        <v>МА_3</v>
      </c>
      <c r="O175" s="583" t="str">
        <f t="shared" si="101"/>
        <v/>
      </c>
      <c r="P175" s="583" t="str">
        <f t="shared" si="102"/>
        <v/>
      </c>
      <c r="Q175" s="617" t="str">
        <f t="shared" si="103"/>
        <v/>
      </c>
      <c r="S175" s="32">
        <f>Цена!A175</f>
        <v>173</v>
      </c>
      <c r="T175" s="62" t="str">
        <f>Цена!C175</f>
        <v>МА_3</v>
      </c>
      <c r="U175" s="97" t="str">
        <f>IF(Бланк!$M$9=T175,HLOOKUP(Бланк!$M$2,Цены[#All],S175,0),"")</f>
        <v/>
      </c>
      <c r="V175" s="32">
        <f t="shared" si="105"/>
        <v>173</v>
      </c>
      <c r="W175" s="62" t="str">
        <f>Цены[[#This Row],[Параметр]]</f>
        <v>МА_3</v>
      </c>
      <c r="X175" s="97" t="str">
        <f>IF(Бланк!$M$25=W175,HLOOKUP(Бланк!$M$2,Цены[#All],V175,0),"")</f>
        <v/>
      </c>
      <c r="Z175" s="32">
        <f t="shared" si="106"/>
        <v>173</v>
      </c>
      <c r="AA175" s="10" t="str">
        <f>Цены[[#This Row],[Параметр]]</f>
        <v>МА_3</v>
      </c>
      <c r="AB175" s="97" t="str">
        <f>IF(Бланк!$M$41=AA175,HLOOKUP(Бланк!$M$2,Цены[#All],Z175,0),"")</f>
        <v/>
      </c>
    </row>
    <row r="176" spans="1:28" s="39" customFormat="1" ht="15.75">
      <c r="A176" s="39">
        <f t="shared" si="71"/>
        <v>174</v>
      </c>
      <c r="B176" s="646"/>
      <c r="C176" s="647" t="s">
        <v>1190</v>
      </c>
      <c r="D176" s="648"/>
      <c r="E176" s="446"/>
      <c r="F176" s="649">
        <f>F174+F68</f>
        <v>25</v>
      </c>
      <c r="G176" s="649"/>
      <c r="H176" s="649"/>
      <c r="I176" s="649"/>
      <c r="J176" s="753">
        <f t="shared" ref="J176:K176" si="107">J174+J68</f>
        <v>25</v>
      </c>
      <c r="K176" s="649">
        <f t="shared" si="107"/>
        <v>25</v>
      </c>
      <c r="L176" s="589"/>
      <c r="M176" s="75">
        <f t="shared" si="88"/>
        <v>174</v>
      </c>
      <c r="N176" s="597" t="str">
        <f>Цены[[#This Row],[Параметр]]</f>
        <v>МА_комб.</v>
      </c>
      <c r="O176" s="583" t="str">
        <f>IF(U176=$V$1,"Ошибка-1","")</f>
        <v/>
      </c>
      <c r="P176" s="583" t="str">
        <f>IF(X176=$V$1,"Ошибка-2","")</f>
        <v/>
      </c>
      <c r="Q176" s="617" t="str">
        <f>IF(AB176=$V$1,"Ошибка-3","")</f>
        <v/>
      </c>
      <c r="S176" s="32">
        <f>Цена!A176</f>
        <v>174</v>
      </c>
      <c r="T176" s="62" t="str">
        <f>Цена!C176</f>
        <v>МА_комб.</v>
      </c>
      <c r="U176" s="97" t="str">
        <f>IF(Бланк!$M$9=T176,HLOOKUP(Бланк!$M$2,Цены[#All],S176,0),"")</f>
        <v/>
      </c>
      <c r="V176" s="32">
        <f t="shared" si="105"/>
        <v>174</v>
      </c>
      <c r="W176" s="62" t="str">
        <f>Цены[[#This Row],[Параметр]]</f>
        <v>МА_комб.</v>
      </c>
      <c r="X176" s="97" t="str">
        <f>IF(Бланк!$M$25=W176,HLOOKUP(Бланк!$M$2,Цены[#All],V176,0),"")</f>
        <v/>
      </c>
      <c r="Z176" s="32">
        <f t="shared" si="106"/>
        <v>174</v>
      </c>
      <c r="AA176" s="10" t="str">
        <f>Цены[[#This Row],[Параметр]]</f>
        <v>МА_комб.</v>
      </c>
      <c r="AB176" s="97" t="str">
        <f>IF(Бланк!$M$41=AA176,HLOOKUP(Бланк!$M$2,Цены[#All],Z176,0),"")</f>
        <v/>
      </c>
    </row>
    <row r="177" spans="1:28" s="39" customFormat="1" ht="15.75">
      <c r="A177" s="39">
        <f t="shared" si="71"/>
        <v>175</v>
      </c>
      <c r="B177" s="650" t="s">
        <v>1123</v>
      </c>
      <c r="C177" s="651" t="s">
        <v>1127</v>
      </c>
      <c r="D177" s="652">
        <v>5</v>
      </c>
      <c r="E177" s="653">
        <f>Цены[[#This Row],[О_0]]</f>
        <v>5</v>
      </c>
      <c r="F177" s="653">
        <f>Цены[[#This Row],[О_1]]</f>
        <v>5</v>
      </c>
      <c r="G177" s="653">
        <f>Цены[[#This Row],[О_2]]</f>
        <v>5</v>
      </c>
      <c r="H177" s="653">
        <f>Цены[[#This Row],[М_0]]</f>
        <v>5</v>
      </c>
      <c r="I177" s="653">
        <f>Цены[[#This Row],[М_1]]</f>
        <v>5</v>
      </c>
      <c r="J177" s="654">
        <f>Цены[[#This Row],[М_2]]</f>
        <v>5</v>
      </c>
      <c r="K177" s="653">
        <f>Цены[[#This Row],[М_3]]</f>
        <v>5</v>
      </c>
      <c r="L177" s="589"/>
      <c r="M177" s="75">
        <f t="shared" si="88"/>
        <v>175</v>
      </c>
      <c r="N177" s="597" t="str">
        <f>Цены[[#This Row],[Параметр]]</f>
        <v>МА_1</v>
      </c>
      <c r="O177" s="583" t="str">
        <f t="shared" si="101"/>
        <v/>
      </c>
      <c r="P177" s="583" t="str">
        <f t="shared" si="102"/>
        <v/>
      </c>
      <c r="Q177" s="617" t="str">
        <f t="shared" si="103"/>
        <v/>
      </c>
      <c r="S177" s="32">
        <f>Цена!A177</f>
        <v>175</v>
      </c>
      <c r="T177" s="62" t="str">
        <f>Цена!C177</f>
        <v>МА_1</v>
      </c>
      <c r="U177" s="97" t="str">
        <f>IF(Бланк!$M$11=T177,HLOOKUP(Бланк!$M$2,Цены[#All],S177,0),"")</f>
        <v/>
      </c>
      <c r="V177" s="32">
        <f t="shared" si="105"/>
        <v>175</v>
      </c>
      <c r="W177" s="62" t="str">
        <f>Цены[[#This Row],[Параметр]]</f>
        <v>МА_1</v>
      </c>
      <c r="X177" s="97" t="str">
        <f>IF(Бланк!$M$27=W177,HLOOKUP(Бланк!$M$2,Цены[#All],V177,0),"")</f>
        <v/>
      </c>
      <c r="Z177" s="32">
        <f t="shared" si="106"/>
        <v>175</v>
      </c>
      <c r="AA177" s="10" t="str">
        <f>Цены[[#This Row],[Параметр]]</f>
        <v>МА_1</v>
      </c>
      <c r="AB177" s="97" t="str">
        <f>IF(Бланк!$M$43=AA177,HLOOKUP(Бланк!$M$2,Цены[#All],Z177,0),"")</f>
        <v/>
      </c>
    </row>
    <row r="178" spans="1:28" s="39" customFormat="1" ht="15.75">
      <c r="A178" s="39">
        <f t="shared" si="71"/>
        <v>176</v>
      </c>
      <c r="B178" s="650" t="s">
        <v>1124</v>
      </c>
      <c r="C178" s="651" t="s">
        <v>1128</v>
      </c>
      <c r="D178" s="652">
        <v>8</v>
      </c>
      <c r="E178" s="653">
        <f>Цены[[#This Row],[О_0]]</f>
        <v>8</v>
      </c>
      <c r="F178" s="653">
        <f>Цены[[#This Row],[О_1]]</f>
        <v>8</v>
      </c>
      <c r="G178" s="653">
        <f>Цены[[#This Row],[О_2]]</f>
        <v>8</v>
      </c>
      <c r="H178" s="653">
        <f>Цены[[#This Row],[М_0]]</f>
        <v>8</v>
      </c>
      <c r="I178" s="653">
        <f>Цены[[#This Row],[М_1]]</f>
        <v>8</v>
      </c>
      <c r="J178" s="654">
        <f>Цены[[#This Row],[М_2]]</f>
        <v>8</v>
      </c>
      <c r="K178" s="653">
        <f>Цены[[#This Row],[М_3]]</f>
        <v>8</v>
      </c>
      <c r="L178" s="589"/>
      <c r="M178" s="75">
        <f t="shared" si="88"/>
        <v>176</v>
      </c>
      <c r="N178" s="597" t="str">
        <f>Цены[[#This Row],[Параметр]]</f>
        <v>МА_2</v>
      </c>
      <c r="O178" s="583" t="str">
        <f t="shared" si="101"/>
        <v/>
      </c>
      <c r="P178" s="583" t="str">
        <f t="shared" si="102"/>
        <v/>
      </c>
      <c r="Q178" s="617" t="str">
        <f t="shared" si="103"/>
        <v/>
      </c>
      <c r="S178" s="32">
        <f>Цена!A178</f>
        <v>176</v>
      </c>
      <c r="T178" s="62" t="str">
        <f>Цена!C178</f>
        <v>МА_2</v>
      </c>
      <c r="U178" s="97" t="str">
        <f>IF(Бланк!$M$11=T178,HLOOKUP(Бланк!$M$2,Цены[#All],S178,0),"")</f>
        <v/>
      </c>
      <c r="V178" s="32">
        <f t="shared" si="105"/>
        <v>176</v>
      </c>
      <c r="W178" s="62" t="str">
        <f>Цены[[#This Row],[Параметр]]</f>
        <v>МА_2</v>
      </c>
      <c r="X178" s="97" t="str">
        <f>IF(Бланк!$M$27=W178,HLOOKUP(Бланк!$M$2,Цены[#All],V178,0),"")</f>
        <v/>
      </c>
      <c r="Z178" s="32">
        <f t="shared" si="106"/>
        <v>176</v>
      </c>
      <c r="AA178" s="10" t="str">
        <f>Цены[[#This Row],[Параметр]]</f>
        <v>МА_2</v>
      </c>
      <c r="AB178" s="97" t="str">
        <f>IF(Бланк!$M$43=AA178,HLOOKUP(Бланк!$M$2,Цены[#All],Z178,0),"")</f>
        <v/>
      </c>
    </row>
    <row r="179" spans="1:28" s="39" customFormat="1" ht="15.75">
      <c r="A179" s="39">
        <f t="shared" si="71"/>
        <v>177</v>
      </c>
      <c r="B179" s="650" t="s">
        <v>1126</v>
      </c>
      <c r="C179" s="651" t="s">
        <v>1129</v>
      </c>
      <c r="D179" s="652">
        <v>11</v>
      </c>
      <c r="E179" s="653">
        <f>Цены[[#This Row],[О_0]]</f>
        <v>11</v>
      </c>
      <c r="F179" s="653">
        <f>Цены[[#This Row],[О_1]]</f>
        <v>11</v>
      </c>
      <c r="G179" s="653">
        <f>Цены[[#This Row],[О_2]]</f>
        <v>11</v>
      </c>
      <c r="H179" s="653">
        <f>Цены[[#This Row],[М_0]]</f>
        <v>11</v>
      </c>
      <c r="I179" s="653">
        <f>Цены[[#This Row],[М_1]]</f>
        <v>11</v>
      </c>
      <c r="J179" s="654">
        <f>Цены[[#This Row],[М_2]]</f>
        <v>11</v>
      </c>
      <c r="K179" s="653">
        <f>Цены[[#This Row],[М_3]]</f>
        <v>11</v>
      </c>
      <c r="L179" s="589"/>
      <c r="M179" s="75">
        <f t="shared" si="88"/>
        <v>177</v>
      </c>
      <c r="N179" s="597" t="str">
        <f>Цены[[#This Row],[Параметр]]</f>
        <v>МА_3</v>
      </c>
      <c r="O179" s="583" t="str">
        <f t="shared" si="101"/>
        <v/>
      </c>
      <c r="P179" s="583" t="str">
        <f t="shared" si="102"/>
        <v/>
      </c>
      <c r="Q179" s="617" t="str">
        <f t="shared" si="103"/>
        <v/>
      </c>
      <c r="S179" s="32">
        <f>Цена!A179</f>
        <v>177</v>
      </c>
      <c r="T179" s="62" t="str">
        <f>Цена!C179</f>
        <v>МА_3</v>
      </c>
      <c r="U179" s="97" t="str">
        <f>IF(Бланк!$M$11=T179,HLOOKUP(Бланк!$M$2,Цены[#All],S179,0),"")</f>
        <v/>
      </c>
      <c r="V179" s="32">
        <f t="shared" si="105"/>
        <v>177</v>
      </c>
      <c r="W179" s="62" t="str">
        <f>Цены[[#This Row],[Параметр]]</f>
        <v>МА_3</v>
      </c>
      <c r="X179" s="97" t="str">
        <f>IF(Бланк!$M$27=W179,HLOOKUP(Бланк!$M$2,Цены[#All],V179,0),"")</f>
        <v/>
      </c>
      <c r="Z179" s="32">
        <f t="shared" si="106"/>
        <v>177</v>
      </c>
      <c r="AA179" s="10" t="str">
        <f>Цены[[#This Row],[Параметр]]</f>
        <v>МА_3</v>
      </c>
      <c r="AB179" s="97" t="str">
        <f>IF(Бланк!$M$43=AA179,HLOOKUP(Бланк!$M$2,Цены[#All],Z179,0),"")</f>
        <v/>
      </c>
    </row>
    <row r="180" spans="1:28" s="39" customFormat="1" ht="15.75">
      <c r="A180" s="39">
        <f t="shared" si="71"/>
        <v>178</v>
      </c>
      <c r="B180" s="650"/>
      <c r="C180" s="651" t="s">
        <v>1190</v>
      </c>
      <c r="D180" s="652"/>
      <c r="E180" s="653">
        <f>E178+E85</f>
        <v>46</v>
      </c>
      <c r="F180" s="653">
        <f t="shared" ref="F180:J180" si="108">F178+F85</f>
        <v>26</v>
      </c>
      <c r="G180" s="653"/>
      <c r="H180" s="653">
        <f t="shared" si="108"/>
        <v>46</v>
      </c>
      <c r="I180" s="653">
        <f t="shared" si="108"/>
        <v>26</v>
      </c>
      <c r="J180" s="654">
        <f t="shared" si="108"/>
        <v>26</v>
      </c>
      <c r="K180" s="653"/>
      <c r="L180" s="589"/>
      <c r="M180" s="75">
        <f t="shared" si="88"/>
        <v>178</v>
      </c>
      <c r="N180" s="597" t="str">
        <f>Цены[[#This Row],[Параметр]]</f>
        <v>МА_комб.</v>
      </c>
      <c r="O180" s="583" t="str">
        <f>IF(U180=$V$1,"Ошибка-1","")</f>
        <v/>
      </c>
      <c r="P180" s="583" t="str">
        <f>IF(X180=$V$1,"Ошибка-2","")</f>
        <v/>
      </c>
      <c r="Q180" s="617" t="str">
        <f>IF(AB180=$V$1,"Ошибка-3","")</f>
        <v/>
      </c>
      <c r="S180" s="32">
        <f>Цена!A180</f>
        <v>178</v>
      </c>
      <c r="T180" s="62" t="str">
        <f>Цена!C180</f>
        <v>МА_комб.</v>
      </c>
      <c r="U180" s="97" t="str">
        <f>IF(Бланк!$M$11=T180,HLOOKUP(Бланк!$M$2,Цены[#All],S180,0),"")</f>
        <v/>
      </c>
      <c r="V180" s="32">
        <f t="shared" si="105"/>
        <v>178</v>
      </c>
      <c r="W180" s="62" t="str">
        <f>Цены[[#This Row],[Параметр]]</f>
        <v>МА_комб.</v>
      </c>
      <c r="X180" s="97" t="str">
        <f>IF(Бланк!$M$27=W180,HLOOKUP(Бланк!$M$2,Цены[#All],V180,0),"")</f>
        <v/>
      </c>
      <c r="Z180" s="32">
        <f t="shared" si="106"/>
        <v>178</v>
      </c>
      <c r="AA180" s="10" t="str">
        <f>Цены[[#This Row],[Параметр]]</f>
        <v>МА_комб.</v>
      </c>
      <c r="AB180" s="97" t="str">
        <f>IF(Бланк!$M$43=AA180,HLOOKUP(Бланк!$M$2,Цены[#All],Z180,0),"")</f>
        <v/>
      </c>
    </row>
    <row r="181" spans="1:28" ht="15.75">
      <c r="A181" s="39">
        <f t="shared" si="71"/>
        <v>179</v>
      </c>
      <c r="B181" s="117" t="s">
        <v>39</v>
      </c>
      <c r="C181" s="9" t="s">
        <v>21</v>
      </c>
      <c r="D181" s="843"/>
      <c r="E181" s="165">
        <v>-4</v>
      </c>
      <c r="F181" s="843">
        <v>-4</v>
      </c>
      <c r="G181" s="843"/>
      <c r="H181" s="15">
        <v>-4</v>
      </c>
      <c r="I181" s="843">
        <v>-4</v>
      </c>
      <c r="J181" s="119">
        <v>-4</v>
      </c>
      <c r="K181" s="165"/>
      <c r="L181" s="75"/>
      <c r="M181" s="75">
        <f t="shared" si="88"/>
        <v>179</v>
      </c>
      <c r="N181" s="613" t="s">
        <v>39</v>
      </c>
      <c r="O181" s="583" t="str">
        <f t="shared" si="101"/>
        <v/>
      </c>
      <c r="P181" s="583" t="str">
        <f t="shared" si="102"/>
        <v/>
      </c>
      <c r="Q181" s="617" t="str">
        <f t="shared" si="103"/>
        <v/>
      </c>
      <c r="S181" s="32">
        <f>Цена!A181</f>
        <v>179</v>
      </c>
      <c r="T181" s="62" t="str">
        <f>Цена!C181</f>
        <v>нет</v>
      </c>
      <c r="U181" s="97" t="str">
        <f>IF(Бланк!$P$6=T181,HLOOKUP(Бланк!$M$2,Цены[#All],S181,0),"")</f>
        <v/>
      </c>
      <c r="V181" s="32">
        <f t="shared" si="104"/>
        <v>179</v>
      </c>
      <c r="W181" s="10" t="str">
        <f t="shared" si="67"/>
        <v>нет</v>
      </c>
      <c r="X181" s="97" t="str">
        <f>IF(Бланк!$P$22=W181,HLOOKUP(Бланк!$M$18,Цены[#All],V181,0),"")</f>
        <v/>
      </c>
      <c r="Z181" s="32">
        <f t="shared" si="63"/>
        <v>179</v>
      </c>
      <c r="AA181" s="10" t="str">
        <f t="shared" si="65"/>
        <v>нет</v>
      </c>
      <c r="AB181" s="97" t="str">
        <f>IF(Бланк!$P$38=AA181,HLOOKUP(Бланк!$M$34,Цены[#All],Z181,0),"")</f>
        <v/>
      </c>
    </row>
    <row r="182" spans="1:28" s="39" customFormat="1" ht="15.75">
      <c r="A182" s="39">
        <f t="shared" si="71"/>
        <v>180</v>
      </c>
      <c r="B182" s="117"/>
      <c r="C182" s="9" t="s">
        <v>828</v>
      </c>
      <c r="D182" s="843" t="s">
        <v>1075</v>
      </c>
      <c r="E182" s="165"/>
      <c r="F182" s="843"/>
      <c r="G182" s="843" t="s">
        <v>1075</v>
      </c>
      <c r="H182" s="15"/>
      <c r="I182" s="843"/>
      <c r="J182" s="119"/>
      <c r="K182" s="165"/>
      <c r="L182" s="583"/>
      <c r="M182" s="75">
        <f t="shared" si="88"/>
        <v>180</v>
      </c>
      <c r="N182" s="613" t="s">
        <v>39</v>
      </c>
      <c r="O182" s="583" t="str">
        <f t="shared" si="101"/>
        <v/>
      </c>
      <c r="P182" s="583" t="str">
        <f t="shared" si="102"/>
        <v/>
      </c>
      <c r="Q182" s="617" t="str">
        <f t="shared" si="103"/>
        <v/>
      </c>
      <c r="S182" s="32">
        <f>Цена!A182</f>
        <v>180</v>
      </c>
      <c r="T182" s="62" t="str">
        <f>Цена!C182</f>
        <v>Vela Т-47</v>
      </c>
      <c r="U182" s="97" t="str">
        <f>IF(Бланк!OP$6=T182,HLOOKUP(Бланк!$M$2,Цены[#All],S182,0),"")</f>
        <v/>
      </c>
      <c r="V182" s="32">
        <f t="shared" si="104"/>
        <v>180</v>
      </c>
      <c r="W182" s="10" t="str">
        <f>T182</f>
        <v>Vela Т-47</v>
      </c>
      <c r="X182" s="97">
        <f>IF(Бланк!$O$22=W182,HLOOKUP(Бланк!$M$18,Цены[#All],V182,0),"")</f>
        <v>0</v>
      </c>
      <c r="Z182" s="32">
        <f t="shared" si="63"/>
        <v>180</v>
      </c>
      <c r="AA182" s="10" t="str">
        <f>T182</f>
        <v>Vela Т-47</v>
      </c>
      <c r="AB182" s="97">
        <f>IF(Бланк!$O$38=AA182,HLOOKUP(Бланк!$M$34,Цены[#All],Z182,0),"")</f>
        <v>0</v>
      </c>
    </row>
    <row r="183" spans="1:28" ht="15.75">
      <c r="A183" s="39">
        <f t="shared" si="71"/>
        <v>181</v>
      </c>
      <c r="B183" s="117"/>
      <c r="C183" s="9" t="s">
        <v>821</v>
      </c>
      <c r="D183" s="843" t="s">
        <v>1075</v>
      </c>
      <c r="E183" s="165" t="s">
        <v>1075</v>
      </c>
      <c r="F183" s="380">
        <v>5</v>
      </c>
      <c r="G183" s="843" t="s">
        <v>1075</v>
      </c>
      <c r="H183" s="15">
        <f>Цены[[#This Row],[О_2]]</f>
        <v>5</v>
      </c>
      <c r="I183" s="15">
        <f>Цены[[#This Row],[М_1]]</f>
        <v>5</v>
      </c>
      <c r="J183" s="119">
        <f>Цены[[#This Row],[М_2]]</f>
        <v>5</v>
      </c>
      <c r="K183" s="154"/>
      <c r="L183" s="587"/>
      <c r="M183" s="75">
        <f t="shared" si="88"/>
        <v>181</v>
      </c>
      <c r="N183" s="613" t="s">
        <v>39</v>
      </c>
      <c r="O183" s="583" t="str">
        <f t="shared" si="101"/>
        <v/>
      </c>
      <c r="P183" s="583" t="str">
        <f t="shared" si="102"/>
        <v/>
      </c>
      <c r="Q183" s="617" t="str">
        <f t="shared" si="103"/>
        <v/>
      </c>
      <c r="S183" s="32">
        <f>Цена!A183</f>
        <v>181</v>
      </c>
      <c r="T183" s="62" t="str">
        <f>Цена!C183</f>
        <v>Апекс Т-57</v>
      </c>
      <c r="U183" s="97" t="str">
        <f>IF(Бланк!$O$6=T183,HLOOKUP(Бланк!$M$2,Цены[#All],S183,0),"")</f>
        <v/>
      </c>
      <c r="V183" s="32">
        <f t="shared" si="104"/>
        <v>181</v>
      </c>
      <c r="W183" s="10" t="str">
        <f t="shared" si="67"/>
        <v>Апекс Т-57</v>
      </c>
      <c r="X183" s="97" t="str">
        <f>IF(Бланк!$O$22=W183,HLOOKUP(Бланк!$M$18,Цены[#All],V183,0),"")</f>
        <v/>
      </c>
      <c r="Z183" s="32">
        <f t="shared" si="63"/>
        <v>181</v>
      </c>
      <c r="AA183" s="10" t="str">
        <f t="shared" si="65"/>
        <v>Апекс Т-57</v>
      </c>
      <c r="AB183" s="97" t="str">
        <f>IF(Бланк!$O$38=AA183,HLOOKUP(Бланк!$M$34,Цены[#All],Z183,0),"")</f>
        <v/>
      </c>
    </row>
    <row r="184" spans="1:28" s="39" customFormat="1" ht="15.75">
      <c r="A184" s="39">
        <f t="shared" si="71"/>
        <v>182</v>
      </c>
      <c r="B184" s="117"/>
      <c r="C184" s="9" t="s">
        <v>1192</v>
      </c>
      <c r="D184" s="843" t="s">
        <v>1075</v>
      </c>
      <c r="E184" s="165" t="s">
        <v>1075</v>
      </c>
      <c r="F184" s="380">
        <v>5</v>
      </c>
      <c r="G184" s="843" t="s">
        <v>1075</v>
      </c>
      <c r="H184" s="15">
        <f>Цены[[#This Row],[О_2]]</f>
        <v>5</v>
      </c>
      <c r="I184" s="15">
        <f>Цены[[#This Row],[О_2]]</f>
        <v>5</v>
      </c>
      <c r="J184" s="119">
        <f>Цены[[#This Row],[М_2]]</f>
        <v>5</v>
      </c>
      <c r="K184" s="154"/>
      <c r="L184" s="587"/>
      <c r="M184" s="75">
        <f t="shared" si="88"/>
        <v>182</v>
      </c>
      <c r="N184" s="613" t="s">
        <v>39</v>
      </c>
      <c r="O184" s="583" t="str">
        <f t="shared" ref="O184" si="109">IF(U184=$V$1,"Ошибка-1","")</f>
        <v/>
      </c>
      <c r="P184" s="583" t="str">
        <f t="shared" ref="P184" si="110">IF(X184=$V$1,"Ошибка-2","")</f>
        <v/>
      </c>
      <c r="Q184" s="617" t="str">
        <f t="shared" ref="Q184" si="111">IF(AB184=$V$1,"Ошибка-3","")</f>
        <v/>
      </c>
      <c r="S184" s="32">
        <f>Цена!A184</f>
        <v>182</v>
      </c>
      <c r="T184" s="62" t="str">
        <f>Цена!C184</f>
        <v>Fuaro V25/C</v>
      </c>
      <c r="U184" s="97" t="str">
        <f>IF(Бланк!$O$6=T184,HLOOKUP(Бланк!$M$2,Цены[#All],S184,0),"")</f>
        <v/>
      </c>
      <c r="V184" s="32">
        <f t="shared" si="104"/>
        <v>182</v>
      </c>
      <c r="W184" s="10" t="str">
        <f t="shared" ref="W184" si="112">T184</f>
        <v>Fuaro V25/C</v>
      </c>
      <c r="X184" s="97" t="str">
        <f>IF(Бланк!$O$22=W184,HLOOKUP(Бланк!$M$18,Цены[#All],V184,0),"")</f>
        <v/>
      </c>
      <c r="Z184" s="32">
        <f t="shared" ref="Z184" si="113">S184</f>
        <v>182</v>
      </c>
      <c r="AA184" s="10" t="str">
        <f t="shared" ref="AA184" si="114">T184</f>
        <v>Fuaro V25/C</v>
      </c>
      <c r="AB184" s="97" t="str">
        <f>IF(Бланк!$O$38=AA184,HLOOKUP(Бланк!$M$34,Цены[#All],Z184,0),"")</f>
        <v/>
      </c>
    </row>
    <row r="185" spans="1:28" ht="15.75">
      <c r="A185" s="39">
        <f t="shared" si="71"/>
        <v>183</v>
      </c>
      <c r="B185" s="117"/>
      <c r="C185" s="9" t="s">
        <v>52</v>
      </c>
      <c r="D185" s="843" t="s">
        <v>1075</v>
      </c>
      <c r="E185" s="165" t="s">
        <v>1075</v>
      </c>
      <c r="F185" s="300">
        <f>19*1.2</f>
        <v>22.8</v>
      </c>
      <c r="G185" s="843" t="s">
        <v>1075</v>
      </c>
      <c r="H185" s="15">
        <f>Цены[[#This Row],[О_2]]</f>
        <v>22.8</v>
      </c>
      <c r="I185" s="15">
        <f>Цены[[#This Row],[М_1]]</f>
        <v>22.8</v>
      </c>
      <c r="J185" s="119">
        <f>Цены[[#This Row],[М_2]]</f>
        <v>22.8</v>
      </c>
      <c r="K185" s="154"/>
      <c r="L185" s="587"/>
      <c r="M185" s="75">
        <f t="shared" si="88"/>
        <v>183</v>
      </c>
      <c r="N185" s="613" t="s">
        <v>39</v>
      </c>
      <c r="O185" s="583" t="str">
        <f t="shared" si="101"/>
        <v/>
      </c>
      <c r="P185" s="583" t="str">
        <f t="shared" si="102"/>
        <v/>
      </c>
      <c r="Q185" s="617" t="str">
        <f t="shared" si="103"/>
        <v/>
      </c>
      <c r="S185" s="32">
        <f>Цена!A185</f>
        <v>183</v>
      </c>
      <c r="T185" s="62" t="str">
        <f>Цена!C185</f>
        <v>Kale 257 L</v>
      </c>
      <c r="U185" s="97" t="str">
        <f>IF(Бланк!$O$6=T185,HLOOKUP(Бланк!$M$2,Цены[#All],S185,0),"")</f>
        <v/>
      </c>
      <c r="V185" s="32">
        <f t="shared" si="104"/>
        <v>183</v>
      </c>
      <c r="W185" s="10" t="str">
        <f t="shared" si="67"/>
        <v>Kale 257 L</v>
      </c>
      <c r="X185" s="97" t="str">
        <f>IF(Бланк!$O$22=W185,HLOOKUP(Бланк!$M$18,Цены[#All],V185,0),"")</f>
        <v/>
      </c>
      <c r="Z185" s="32">
        <f t="shared" si="63"/>
        <v>183</v>
      </c>
      <c r="AA185" s="10" t="str">
        <f t="shared" si="65"/>
        <v>Kale 257 L</v>
      </c>
      <c r="AB185" s="97" t="str">
        <f>IF(Бланк!$O$38=AA185,HLOOKUP(Бланк!$M$34,Цены[#All],Z185,0),"")</f>
        <v/>
      </c>
    </row>
    <row r="186" spans="1:28" ht="15.75">
      <c r="A186" s="39">
        <f t="shared" si="71"/>
        <v>184</v>
      </c>
      <c r="B186" s="117"/>
      <c r="C186" s="9" t="s">
        <v>53</v>
      </c>
      <c r="D186" s="843" t="s">
        <v>1075</v>
      </c>
      <c r="E186" s="165" t="s">
        <v>1075</v>
      </c>
      <c r="F186" s="300">
        <v>27</v>
      </c>
      <c r="G186" s="843" t="s">
        <v>1075</v>
      </c>
      <c r="H186" s="15">
        <f>Цены[[#This Row],[О_2]]</f>
        <v>27</v>
      </c>
      <c r="I186" s="15">
        <f>Цены[[#This Row],[М_1]]</f>
        <v>27</v>
      </c>
      <c r="J186" s="119">
        <f>Цены[[#This Row],[М_2]]</f>
        <v>27</v>
      </c>
      <c r="K186" s="154"/>
      <c r="L186" s="587"/>
      <c r="M186" s="75">
        <f t="shared" si="88"/>
        <v>184</v>
      </c>
      <c r="N186" s="613" t="s">
        <v>39</v>
      </c>
      <c r="O186" s="583" t="str">
        <f t="shared" si="101"/>
        <v/>
      </c>
      <c r="P186" s="583" t="str">
        <f t="shared" si="102"/>
        <v/>
      </c>
      <c r="Q186" s="617" t="str">
        <f t="shared" si="103"/>
        <v/>
      </c>
      <c r="S186" s="32">
        <f>Цена!A186</f>
        <v>184</v>
      </c>
      <c r="T186" s="62" t="str">
        <f>Цена!C186</f>
        <v>Kale 257 R</v>
      </c>
      <c r="U186" s="97" t="str">
        <f>IF(Бланк!$O$6=T186,HLOOKUP(Бланк!$M$2,Цены[#All],S186,0),"")</f>
        <v/>
      </c>
      <c r="V186" s="32">
        <f t="shared" si="104"/>
        <v>184</v>
      </c>
      <c r="W186" s="10" t="str">
        <f t="shared" si="67"/>
        <v>Kale 257 R</v>
      </c>
      <c r="X186" s="97" t="str">
        <f>IF(Бланк!$O$22=W186,HLOOKUP(Бланк!$M$18,Цены[#All],V186,0),"")</f>
        <v/>
      </c>
      <c r="Z186" s="32">
        <f t="shared" si="63"/>
        <v>184</v>
      </c>
      <c r="AA186" s="10" t="str">
        <f t="shared" si="65"/>
        <v>Kale 257 R</v>
      </c>
      <c r="AB186" s="97" t="str">
        <f>IF(Бланк!$O$38=AA186,HLOOKUP(Бланк!$M$34,Цены[#All],Z186,0),"")</f>
        <v/>
      </c>
    </row>
    <row r="187" spans="1:28" ht="15.75">
      <c r="A187" s="39">
        <f t="shared" si="71"/>
        <v>185</v>
      </c>
      <c r="B187" s="117"/>
      <c r="C187" s="9" t="s">
        <v>54</v>
      </c>
      <c r="D187" s="843" t="s">
        <v>1075</v>
      </c>
      <c r="E187" s="165">
        <v>5</v>
      </c>
      <c r="F187" s="300">
        <f>5*1.2</f>
        <v>6</v>
      </c>
      <c r="G187" s="843" t="s">
        <v>1075</v>
      </c>
      <c r="H187" s="15">
        <f>Цены[[#This Row],[О_2]]</f>
        <v>6</v>
      </c>
      <c r="I187" s="843">
        <v>5</v>
      </c>
      <c r="J187" s="119" t="s">
        <v>1075</v>
      </c>
      <c r="K187" s="165"/>
      <c r="L187" s="75"/>
      <c r="M187" s="75">
        <f t="shared" si="88"/>
        <v>185</v>
      </c>
      <c r="N187" s="613" t="s">
        <v>39</v>
      </c>
      <c r="O187" s="583" t="str">
        <f t="shared" si="101"/>
        <v/>
      </c>
      <c r="P187" s="583" t="str">
        <f t="shared" si="102"/>
        <v/>
      </c>
      <c r="Q187" s="617" t="str">
        <f t="shared" si="103"/>
        <v/>
      </c>
      <c r="S187" s="32">
        <f>Цена!A187</f>
        <v>185</v>
      </c>
      <c r="T187" s="62" t="str">
        <f>Цена!C187</f>
        <v>Kale 189 MR</v>
      </c>
      <c r="U187" s="97" t="str">
        <f>IF(AND(OR(Бланк!$S$2="3-х конт.",Бланк!$G$6="ПКТ",Бланк!G11="МДФ_без_молд",Бланк!S6="Авт. KALE",Бланк!S6="Авт.Crit",Бланк!S6="Авт.квадрат",Бланк!S6="БРОНЯ",Бланк!S6="Авт.Apecs",Бланк!$S$6="DP-11"),Бланк!$O$6=T187),$V$1,IF(Бланк!$O$6=T187,HLOOKUP(Бланк!$M$2,Цены[#All],S187,0),""))</f>
        <v/>
      </c>
      <c r="V187" s="32">
        <f t="shared" si="104"/>
        <v>185</v>
      </c>
      <c r="W187" s="10" t="str">
        <f t="shared" si="67"/>
        <v>Kale 189 MR</v>
      </c>
      <c r="X187" s="97" t="str">
        <f>IF(AND(OR(Бланк!$S$18="3-х конт.",Бланк!$G$22="ПКТ",Бланк!$G$27="МДФ_без_молд",Бланк!S22="Авт. KALE",Бланк!S22="Авт.Crit",Бланк!S22="Авт.квадрат",Бланк!S22="БРОНЯ",Бланк!S22="Авт.Apecs",Бланк!$S$22="DP-11"),Бланк!$O$22=T187),$V$1,IF(Бланк!$P$22=W187,HLOOKUP(Бланк!$M$18,Цены[#All],V187,0),""))</f>
        <v/>
      </c>
      <c r="Z187" s="32">
        <f t="shared" si="63"/>
        <v>185</v>
      </c>
      <c r="AA187" s="10" t="str">
        <f t="shared" si="65"/>
        <v>Kale 189 MR</v>
      </c>
      <c r="AB187" s="97" t="str">
        <f>IF(AND(OR(Бланк!$S$34="3-х конт.",Бланк!$G$38="ПКТ",Бланк!G43="МДФ_без_молд",Бланк!S38="Авт. KALE",Бланк!S38="Авт.Crit",Бланк!S38="Авт.квадрат",Бланк!S38="БРОНЯ",Бланк!S38="Авт.Apecs",Бланк!S38="DP-11"),Бланк!$O$38=T187),$V$1,IF(Бланк!$P$38=AA187,HLOOKUP(Бланк!$M$34,Цены[#All],Z187,0),""))</f>
        <v/>
      </c>
    </row>
    <row r="188" spans="1:28" s="39" customFormat="1" ht="15.75">
      <c r="A188" s="39">
        <f t="shared" si="71"/>
        <v>186</v>
      </c>
      <c r="B188" s="117"/>
      <c r="C188" s="651" t="s">
        <v>1644</v>
      </c>
      <c r="D188" s="843" t="s">
        <v>1075</v>
      </c>
      <c r="E188" s="165" t="s">
        <v>1075</v>
      </c>
      <c r="F188" s="300">
        <v>3</v>
      </c>
      <c r="G188" s="843" t="s">
        <v>1075</v>
      </c>
      <c r="H188" s="380">
        <f>F188</f>
        <v>3</v>
      </c>
      <c r="I188" s="300">
        <f>H188</f>
        <v>3</v>
      </c>
      <c r="J188" s="420">
        <f>I188</f>
        <v>3</v>
      </c>
      <c r="K188" s="165"/>
      <c r="L188" s="75"/>
      <c r="M188" s="75">
        <f t="shared" ref="M188" si="115">A188</f>
        <v>186</v>
      </c>
      <c r="N188" s="613" t="s">
        <v>39</v>
      </c>
      <c r="O188" s="583" t="str">
        <f>IF(U188=$V$1,"Ошибка-1","")</f>
        <v/>
      </c>
      <c r="P188" s="583" t="str">
        <f>IF(X188=$V$1,"Ошибка-2","")</f>
        <v/>
      </c>
      <c r="Q188" s="617" t="str">
        <f>IF(AB188=$V$1,"Ошибка-3","")</f>
        <v/>
      </c>
      <c r="S188" s="32">
        <f>Цена!A188</f>
        <v>186</v>
      </c>
      <c r="T188" s="62" t="str">
        <f>Цена!C188</f>
        <v>Vela V257L</v>
      </c>
      <c r="U188" s="97" t="str">
        <f>IF(AND(OR(Бланк!$S$2="3-х конт.",Бланк!$G$6="ПКТ",Бланк!G12="МДФ_без_молд",Бланк!S7="Авт. KALE",Бланк!S7="Авт.Crit",Бланк!S7="Авт.квадрат",Бланк!S7="БРОНЯ",Бланк!S7="Авт.Apecs",Бланк!$S$6="DP-11"),Бланк!$O$6=T188),$V$1,IF(Бланк!$O$6=T188,HLOOKUP(Бланк!$M$2,Цены[#All],S188,0),""))</f>
        <v/>
      </c>
      <c r="V188" s="32">
        <f t="shared" ref="V188" si="116">A188</f>
        <v>186</v>
      </c>
      <c r="W188" s="10" t="str">
        <f t="shared" ref="W188" si="117">T188</f>
        <v>Vela V257L</v>
      </c>
      <c r="X188" s="97" t="str">
        <f>IF(AND(OR(Бланк!$S$18="3-х конт.",Бланк!$G$22="ПКТ",Бланк!$G$27="МДФ_без_молд",Бланк!S23="Авт. KALE",Бланк!S23="Авт.Crit",Бланк!S23="Авт.квадрат",Бланк!S23="БРОНЯ",Бланк!S23="Авт.Apecs",Бланк!$S$22="DP-11"),Бланк!$O$22=T188),$V$1,IF(Бланк!$P$22=W188,HLOOKUP(Бланк!$M$18,Цены[#All],V188,0),""))</f>
        <v/>
      </c>
      <c r="Z188" s="32">
        <f t="shared" ref="Z188" si="118">S188</f>
        <v>186</v>
      </c>
      <c r="AA188" s="10" t="str">
        <f t="shared" ref="AA188" si="119">T188</f>
        <v>Vela V257L</v>
      </c>
      <c r="AB188" s="97" t="str">
        <f>IF(AND(OR(Бланк!$S$34="3-х конт.",Бланк!$G$38="ПКТ",Бланк!G44="МДФ_без_молд",Бланк!S39="Авт. KALE",Бланк!S39="Авт.Crit",Бланк!S39="Авт.квадрат",Бланк!S39="БРОНЯ",Бланк!S39="Авт.Apecs",Бланк!S39="DP-11"),Бланк!$O$38=T188),$V$1,IF(Бланк!$P$38=AA188,HLOOKUP(Бланк!$M$34,Цены[#All],Z188,0),""))</f>
        <v/>
      </c>
    </row>
    <row r="189" spans="1:28" s="39" customFormat="1" ht="15.75">
      <c r="A189" s="39">
        <f t="shared" ref="A189:A252" si="120">A188+1</f>
        <v>187</v>
      </c>
      <c r="B189" s="424"/>
      <c r="C189" s="419" t="s">
        <v>1451</v>
      </c>
      <c r="D189" s="843" t="s">
        <v>1075</v>
      </c>
      <c r="E189" s="421">
        <v>2</v>
      </c>
      <c r="F189" s="577">
        <f>Цены[[#This Row],[О_1]]</f>
        <v>2</v>
      </c>
      <c r="G189" s="843" t="s">
        <v>1075</v>
      </c>
      <c r="H189" s="15">
        <f>Цены[[#This Row],[О_1]]</f>
        <v>2</v>
      </c>
      <c r="I189" s="843">
        <f>Цены[[#This Row],[М_1]]</f>
        <v>2</v>
      </c>
      <c r="J189" s="119">
        <f>Цены[[#This Row],[М_2]]</f>
        <v>2</v>
      </c>
      <c r="K189" s="165"/>
      <c r="L189" s="583"/>
      <c r="M189" s="75">
        <f t="shared" si="88"/>
        <v>187</v>
      </c>
      <c r="N189" s="613" t="s">
        <v>39</v>
      </c>
      <c r="O189" s="583" t="str">
        <f t="shared" si="101"/>
        <v/>
      </c>
      <c r="P189" s="583" t="str">
        <f t="shared" si="102"/>
        <v/>
      </c>
      <c r="Q189" s="617" t="str">
        <f t="shared" si="103"/>
        <v/>
      </c>
      <c r="S189" s="32">
        <f>Цена!A189</f>
        <v>187</v>
      </c>
      <c r="T189" s="62" t="str">
        <f>Цена!C189</f>
        <v>Vela V257R</v>
      </c>
      <c r="U189" s="97" t="str">
        <f>IF(Бланк!$O$6=T189,HLOOKUP(Бланк!$M$2,Цены[#All],S189,0),"")</f>
        <v/>
      </c>
      <c r="V189" s="32">
        <f t="shared" si="104"/>
        <v>187</v>
      </c>
      <c r="W189" s="10" t="str">
        <f>T189</f>
        <v>Vela V257R</v>
      </c>
      <c r="X189" s="97" t="str">
        <f>IF(Бланк!$O$22=W189,HLOOKUP(Бланк!$M$18,Цены[#All],V189,0),"")</f>
        <v/>
      </c>
      <c r="Z189" s="32">
        <f t="shared" ref="Z189:AA191" si="121">S189</f>
        <v>187</v>
      </c>
      <c r="AA189" s="10" t="str">
        <f t="shared" si="121"/>
        <v>Vela V257R</v>
      </c>
      <c r="AB189" s="97" t="str">
        <f>IF(Бланк!$O$38=AA189,HLOOKUP(Бланк!$M$34,Цены[#All],Z189,0),"")</f>
        <v/>
      </c>
    </row>
    <row r="190" spans="1:28" s="569" customFormat="1" ht="15.75">
      <c r="A190" s="39">
        <f t="shared" si="120"/>
        <v>188</v>
      </c>
      <c r="B190" s="570"/>
      <c r="C190" s="419" t="s">
        <v>1658</v>
      </c>
      <c r="D190" s="571" t="s">
        <v>1075</v>
      </c>
      <c r="E190" s="572">
        <v>35</v>
      </c>
      <c r="F190" s="571">
        <f>Цены[[#This Row],[О_1]]-3</f>
        <v>32</v>
      </c>
      <c r="G190" s="571" t="s">
        <v>1075</v>
      </c>
      <c r="H190" s="380">
        <f>E190</f>
        <v>35</v>
      </c>
      <c r="I190" s="571">
        <f>F190</f>
        <v>32</v>
      </c>
      <c r="J190" s="420">
        <f>I190</f>
        <v>32</v>
      </c>
      <c r="K190" s="572"/>
      <c r="L190" s="590"/>
      <c r="M190" s="75">
        <f t="shared" si="88"/>
        <v>188</v>
      </c>
      <c r="N190" s="613" t="s">
        <v>39</v>
      </c>
      <c r="O190" s="583" t="str">
        <f t="shared" ref="O190:O191" si="122">IF(U190=$V$1,"Ошибка-1","")</f>
        <v/>
      </c>
      <c r="P190" s="583" t="str">
        <f t="shared" ref="P190:P191" si="123">IF(X190=$V$1,"Ошибка-2","")</f>
        <v/>
      </c>
      <c r="Q190" s="617" t="str">
        <f t="shared" ref="Q190:Q191" si="124">IF(AB190=$V$1,"Ошибка-3","")</f>
        <v/>
      </c>
      <c r="S190" s="32">
        <f>Цена!A190</f>
        <v>188</v>
      </c>
      <c r="T190" s="62" t="str">
        <f>Цена!C190</f>
        <v>Mottura DP25.170</v>
      </c>
      <c r="U190" s="97" t="str">
        <f>IF(Бланк!$O$6=T190,HLOOKUP(Бланк!$M$2,Цены[#All],S190,0),"")</f>
        <v/>
      </c>
      <c r="V190" s="32">
        <f t="shared" ref="V190" si="125">A190</f>
        <v>188</v>
      </c>
      <c r="W190" s="10" t="str">
        <f>T190</f>
        <v>Mottura DP25.170</v>
      </c>
      <c r="X190" s="97" t="str">
        <f>IF(Бланк!$O$22=W190,HLOOKUP(Бланк!$M$18,Цены[#All],V190,0),"")</f>
        <v/>
      </c>
      <c r="Y190" s="39"/>
      <c r="Z190" s="32">
        <f t="shared" si="121"/>
        <v>188</v>
      </c>
      <c r="AA190" s="10" t="str">
        <f t="shared" si="121"/>
        <v>Mottura DP25.170</v>
      </c>
      <c r="AB190" s="97" t="str">
        <f>IF(Бланк!$O$38=AA190,HLOOKUP(Бланк!$M$34,Цены[#All],Z190,0),"")</f>
        <v/>
      </c>
    </row>
    <row r="191" spans="1:28" s="569" customFormat="1" ht="15.75">
      <c r="A191" s="39">
        <f t="shared" si="120"/>
        <v>189</v>
      </c>
      <c r="B191" s="570"/>
      <c r="C191" s="419" t="s">
        <v>1659</v>
      </c>
      <c r="D191" s="571" t="s">
        <v>1075</v>
      </c>
      <c r="E191" s="572">
        <v>16</v>
      </c>
      <c r="F191" s="571">
        <f>Цены[[#This Row],[О_1]]-3</f>
        <v>13</v>
      </c>
      <c r="G191" s="571" t="s">
        <v>1075</v>
      </c>
      <c r="H191" s="380">
        <f>E191</f>
        <v>16</v>
      </c>
      <c r="I191" s="571">
        <f>F191</f>
        <v>13</v>
      </c>
      <c r="J191" s="420">
        <f>I191</f>
        <v>13</v>
      </c>
      <c r="K191" s="572"/>
      <c r="L191" s="590"/>
      <c r="M191" s="75">
        <f t="shared" si="88"/>
        <v>189</v>
      </c>
      <c r="N191" s="613" t="s">
        <v>39</v>
      </c>
      <c r="O191" s="583" t="str">
        <f t="shared" si="122"/>
        <v/>
      </c>
      <c r="P191" s="583" t="str">
        <f t="shared" si="123"/>
        <v/>
      </c>
      <c r="Q191" s="617" t="str">
        <f t="shared" si="124"/>
        <v/>
      </c>
      <c r="S191" s="32">
        <f>Цена!A191</f>
        <v>189</v>
      </c>
      <c r="T191" s="62" t="str">
        <f>Цена!C191</f>
        <v>Mottura DP58 цил.</v>
      </c>
      <c r="U191" s="97" t="str">
        <f>IF(Бланк!$O$6=T191,HLOOKUP(Бланк!$M$2,Цены[#All],S191,0),"")</f>
        <v/>
      </c>
      <c r="V191" s="32">
        <f t="shared" ref="V191" si="126">A191</f>
        <v>189</v>
      </c>
      <c r="W191" s="10" t="str">
        <f>T191</f>
        <v>Mottura DP58 цил.</v>
      </c>
      <c r="X191" s="97" t="str">
        <f>IF(Бланк!$O$22=W191,HLOOKUP(Бланк!$M$18,Цены[#All],V191,0),"")</f>
        <v/>
      </c>
      <c r="Y191" s="39"/>
      <c r="Z191" s="32">
        <f t="shared" si="121"/>
        <v>189</v>
      </c>
      <c r="AA191" s="10" t="str">
        <f t="shared" si="121"/>
        <v>Mottura DP58 цил.</v>
      </c>
      <c r="AB191" s="97"/>
    </row>
    <row r="192" spans="1:28" ht="15.75">
      <c r="A192" s="39">
        <f t="shared" si="120"/>
        <v>190</v>
      </c>
      <c r="B192" s="117"/>
      <c r="C192" s="9" t="s">
        <v>8</v>
      </c>
      <c r="D192" s="843" t="s">
        <v>1075</v>
      </c>
      <c r="E192" s="165" t="s">
        <v>1075</v>
      </c>
      <c r="F192" s="300">
        <v>8</v>
      </c>
      <c r="G192" s="843" t="s">
        <v>1075</v>
      </c>
      <c r="H192" s="15">
        <f>Цены[[#This Row],[О_2]]</f>
        <v>8</v>
      </c>
      <c r="I192" s="15">
        <f>Цены[[#This Row],[М_1]]</f>
        <v>8</v>
      </c>
      <c r="J192" s="119">
        <f>Цены[[#This Row],[М_2]]</f>
        <v>8</v>
      </c>
      <c r="K192" s="154"/>
      <c r="L192" s="587"/>
      <c r="M192" s="75">
        <f t="shared" si="88"/>
        <v>190</v>
      </c>
      <c r="N192" s="613" t="s">
        <v>39</v>
      </c>
      <c r="O192" s="583" t="str">
        <f t="shared" si="101"/>
        <v/>
      </c>
      <c r="P192" s="583" t="str">
        <f t="shared" si="102"/>
        <v/>
      </c>
      <c r="Q192" s="617" t="str">
        <f t="shared" si="103"/>
        <v/>
      </c>
      <c r="S192" s="32">
        <f>Цена!A192</f>
        <v>190</v>
      </c>
      <c r="T192" s="62" t="str">
        <f>Цена!C192</f>
        <v>Эльбор без тяг</v>
      </c>
      <c r="U192" s="97" t="str">
        <f>IF(AND(Бланк!M2="Индивид.",Бланк!M11=""),"",IF(Бланк!$P$6=T192,HLOOKUP(Бланк!$M$2,Цены[#All],S192,0),""))</f>
        <v/>
      </c>
      <c r="V192" s="32">
        <f t="shared" si="104"/>
        <v>190</v>
      </c>
      <c r="W192" s="10" t="str">
        <f t="shared" si="67"/>
        <v>Эльбор без тяг</v>
      </c>
      <c r="X192" s="97" t="str">
        <f>IF(Бланк!$P$22=W192,HLOOKUP(Бланк!$M$18,Цены[#All],V192,0),"")</f>
        <v/>
      </c>
      <c r="Z192" s="32">
        <f t="shared" si="63"/>
        <v>190</v>
      </c>
      <c r="AA192" s="10" t="str">
        <f t="shared" si="65"/>
        <v>Эльбор без тяг</v>
      </c>
      <c r="AB192" s="97" t="str">
        <f>IF(Бланк!$P$38=AA192,HLOOKUP(Бланк!$M$34,Цены[#All],Z192,0),"")</f>
        <v/>
      </c>
    </row>
    <row r="193" spans="1:28" s="39" customFormat="1" ht="15.75">
      <c r="A193" s="39">
        <f t="shared" si="120"/>
        <v>191</v>
      </c>
      <c r="B193" s="117"/>
      <c r="C193" s="9" t="s">
        <v>7</v>
      </c>
      <c r="D193" s="843" t="s">
        <v>1075</v>
      </c>
      <c r="E193" s="165" t="s">
        <v>1075</v>
      </c>
      <c r="F193" s="300">
        <v>11</v>
      </c>
      <c r="G193" s="843" t="s">
        <v>1075</v>
      </c>
      <c r="H193" s="15">
        <f>Цены[[#This Row],[О_2]]</f>
        <v>11</v>
      </c>
      <c r="I193" s="15">
        <f>Цены[[#This Row],[М_1]]</f>
        <v>11</v>
      </c>
      <c r="J193" s="119">
        <f>Цены[[#This Row],[М_2]]</f>
        <v>11</v>
      </c>
      <c r="K193" s="154"/>
      <c r="L193" s="587"/>
      <c r="M193" s="75">
        <f t="shared" si="88"/>
        <v>191</v>
      </c>
      <c r="N193" s="613" t="s">
        <v>39</v>
      </c>
      <c r="O193" s="583" t="str">
        <f t="shared" si="101"/>
        <v/>
      </c>
      <c r="P193" s="583" t="str">
        <f t="shared" si="102"/>
        <v/>
      </c>
      <c r="Q193" s="617" t="str">
        <f t="shared" si="103"/>
        <v/>
      </c>
      <c r="S193" s="32">
        <f>Цена!A193</f>
        <v>191</v>
      </c>
      <c r="T193" s="62" t="str">
        <f>Цена!C193</f>
        <v>Эльбор с тягами</v>
      </c>
      <c r="U193" s="97" t="str">
        <f>IF(AND(Бланк!M2="Индивид.",Бланк!M11=""),"",IF(AND(OR(Бланк!$S$2="3-х конт.",Бланк!$G$6="ПКТ",Бланк!G11="МДФ_без_молд",Бланк!$I$11="_16мм",Бланк!$H$11="_16_влаго"),Бланк!$O$6=T193),$V$1,IF(Бланк!$P$6=T193,HLOOKUP(Бланк!$M$2,Цены[#All],S193,0),"")))</f>
        <v/>
      </c>
      <c r="V193" s="32">
        <f t="shared" si="104"/>
        <v>191</v>
      </c>
      <c r="W193" s="10" t="str">
        <f t="shared" si="67"/>
        <v>Эльбор с тягами</v>
      </c>
      <c r="X193" s="97" t="str">
        <f>IF(AND(OR(Бланк!$S$18="3-х конт.",Бланк!$G$22="ПКТ",Бланк!G27="МДФ_без_молд",Бланк!$H$27="_16мм",Бланк!$H$27="_16_влаго"),Бланк!$O$22=T193),$V$1,IF(Бланк!$P$22=W193,HLOOKUP(Бланк!$M$18,Цены[#All],V193,0),""))</f>
        <v/>
      </c>
      <c r="Z193" s="32">
        <f t="shared" si="63"/>
        <v>191</v>
      </c>
      <c r="AA193" s="10" t="str">
        <f t="shared" si="65"/>
        <v>Эльбор с тягами</v>
      </c>
      <c r="AB193" s="97" t="str">
        <f>IF(AND(OR(Бланк!$S$34="3-х конт.",Бланк!$G$38="ПКТ",Бланк!G43="МДФ_без_молд"),Бланк!$O$38=T193),$V$1,IF(Бланк!$P$38=AA193,HLOOKUP(Бланк!$M$34,Цены[#All],Z193,0),""))</f>
        <v/>
      </c>
    </row>
    <row r="194" spans="1:28" s="447" customFormat="1" ht="15.75">
      <c r="A194" s="39">
        <f t="shared" si="120"/>
        <v>192</v>
      </c>
      <c r="B194" s="743" t="s">
        <v>903</v>
      </c>
      <c r="C194" s="442"/>
      <c r="D194" s="443"/>
      <c r="E194" s="751"/>
      <c r="F194" s="444"/>
      <c r="G194" s="443"/>
      <c r="H194" s="444"/>
      <c r="I194" s="444"/>
      <c r="J194" s="445"/>
      <c r="K194" s="446"/>
      <c r="L194" s="588"/>
      <c r="M194" s="75">
        <f t="shared" si="88"/>
        <v>192</v>
      </c>
      <c r="N194" s="642" t="s">
        <v>1186</v>
      </c>
      <c r="O194" s="583" t="str">
        <f t="shared" si="101"/>
        <v/>
      </c>
      <c r="P194" s="583" t="str">
        <f t="shared" si="102"/>
        <v/>
      </c>
      <c r="Q194" s="617" t="str">
        <f t="shared" si="103"/>
        <v/>
      </c>
      <c r="S194" s="32">
        <f>Цена!A194</f>
        <v>192</v>
      </c>
      <c r="T194" s="448"/>
      <c r="U194" s="449">
        <f>Фурнитура!B29</f>
        <v>0</v>
      </c>
      <c r="V194" s="32">
        <f t="shared" si="104"/>
        <v>192</v>
      </c>
      <c r="W194" s="448"/>
      <c r="X194" s="449">
        <f>Фурнитура!D29</f>
        <v>0</v>
      </c>
      <c r="Z194" s="32">
        <f t="shared" si="63"/>
        <v>192</v>
      </c>
      <c r="AA194" s="448"/>
      <c r="AB194" s="449">
        <f>Фурнитура!F29</f>
        <v>0</v>
      </c>
    </row>
    <row r="195" spans="1:28" s="39" customFormat="1" ht="15.75">
      <c r="A195" s="39">
        <f t="shared" si="120"/>
        <v>193</v>
      </c>
      <c r="B195" s="117" t="s">
        <v>535</v>
      </c>
      <c r="C195" s="9" t="s">
        <v>534</v>
      </c>
      <c r="D195" s="843" t="s">
        <v>1075</v>
      </c>
      <c r="E195" s="165" t="s">
        <v>1075</v>
      </c>
      <c r="F195" s="629">
        <v>10</v>
      </c>
      <c r="G195" s="843" t="s">
        <v>1075</v>
      </c>
      <c r="H195" s="15">
        <f>Цены[[#This Row],[О_2]]</f>
        <v>10</v>
      </c>
      <c r="I195" s="15">
        <f>Цены[[#This Row],[М_1]]</f>
        <v>10</v>
      </c>
      <c r="J195" s="119">
        <f>F195</f>
        <v>10</v>
      </c>
      <c r="K195" s="154">
        <f>Цены[[#This Row],[М_3]]</f>
        <v>10</v>
      </c>
      <c r="L195" s="587"/>
      <c r="M195" s="75">
        <f t="shared" si="88"/>
        <v>193</v>
      </c>
      <c r="N195" s="597" t="str">
        <f>B195</f>
        <v>Броня верх.</v>
      </c>
      <c r="O195" s="583" t="str">
        <f t="shared" si="101"/>
        <v/>
      </c>
      <c r="P195" s="583" t="str">
        <f t="shared" si="102"/>
        <v/>
      </c>
      <c r="Q195" s="617" t="str">
        <f t="shared" si="103"/>
        <v/>
      </c>
      <c r="S195" s="32">
        <f>Цена!A195</f>
        <v>193</v>
      </c>
      <c r="T195" s="62" t="str">
        <f>Цена!C195</f>
        <v>БРОНЯ</v>
      </c>
      <c r="U195" s="97" t="str">
        <f>IF(AND(OR(Бланк!$P$6="Эльбор без тяг",Бланк!$P$6="Эльбор с тягами"),Бланк!$S$6=T195),$V$1,IF(Бланк!$S$6=T195,HLOOKUP(Бланк!$M$2,Цены[#All],S195,0),""))</f>
        <v/>
      </c>
      <c r="V195" s="32">
        <f t="shared" si="104"/>
        <v>193</v>
      </c>
      <c r="W195" s="10" t="str">
        <f t="shared" si="67"/>
        <v>БРОНЯ</v>
      </c>
      <c r="X195" s="97" t="str">
        <f>IF(AND(OR(Бланк!$O$22="Эльбор с тягами",Бланк!$P$22="Эльбор без тяг"),Бланк!$S$22=W195),$Z$1,IF(Бланк!$S$22=W195,HLOOKUP(Бланк!$M$18,Цены[#All],V195,0),""))</f>
        <v/>
      </c>
      <c r="Z195" s="32">
        <f t="shared" si="63"/>
        <v>193</v>
      </c>
      <c r="AA195" s="10" t="str">
        <f>T195</f>
        <v>БРОНЯ</v>
      </c>
      <c r="AB195" s="97" t="str">
        <f>IF(AND(OR(Бланк!$P$38="Эльбор с тягами",Бланк!$P$38="Эльбор без тяг"),Бланк!$S$38=AA195),$Z$1,IF(Бланк!$S$38=AA195,HLOOKUP(Бланк!$M$34,Цены[#All],Z195,0),""))</f>
        <v/>
      </c>
    </row>
    <row r="196" spans="1:28" s="39" customFormat="1" ht="15.75">
      <c r="A196" s="39">
        <f t="shared" si="120"/>
        <v>194</v>
      </c>
      <c r="B196" s="117"/>
      <c r="C196" s="9" t="s">
        <v>1149</v>
      </c>
      <c r="D196" s="843" t="s">
        <v>1075</v>
      </c>
      <c r="E196" s="165" t="s">
        <v>1075</v>
      </c>
      <c r="F196" s="15">
        <v>10</v>
      </c>
      <c r="G196" s="843" t="s">
        <v>1075</v>
      </c>
      <c r="H196" s="15">
        <f>Цены[[#This Row],[О_2]]</f>
        <v>10</v>
      </c>
      <c r="I196" s="15">
        <f>Цены[[#This Row],[М_1]]</f>
        <v>10</v>
      </c>
      <c r="J196" s="119">
        <f t="shared" ref="J196:J197" si="127">F196</f>
        <v>10</v>
      </c>
      <c r="K196" s="154">
        <f>Цены[[#This Row],[М_3]]</f>
        <v>10</v>
      </c>
      <c r="L196" s="587"/>
      <c r="M196" s="75">
        <f t="shared" si="88"/>
        <v>194</v>
      </c>
      <c r="N196" s="597" t="str">
        <f>B195</f>
        <v>Броня верх.</v>
      </c>
      <c r="O196" s="583" t="str">
        <f t="shared" ref="O196" si="128">IF(U196=$V$1,"Ошибка-1","")</f>
        <v/>
      </c>
      <c r="P196" s="583" t="str">
        <f t="shared" ref="P196" si="129">IF(X196=$V$1,"Ошибка-2","")</f>
        <v/>
      </c>
      <c r="Q196" s="617" t="str">
        <f t="shared" ref="Q196" si="130">IF(AB196=$V$1,"Ошибка-3","")</f>
        <v/>
      </c>
      <c r="S196" s="32">
        <f>Цена!A196</f>
        <v>194</v>
      </c>
      <c r="T196" s="62" t="str">
        <f>Цена!C196</f>
        <v>Броня квад.</v>
      </c>
      <c r="U196" s="97" t="str">
        <f>IF(AND(OR(Бланк!$P$6="Эльбор без тяг",Бланк!$P$6="Эльбор с тягами"),Бланк!$S$6=T196),$V$1,IF(Бланк!$S$6=T196,HLOOKUP(Бланк!$M$2,Цены[#All],S196,0),""))</f>
        <v/>
      </c>
      <c r="V196" s="32">
        <f t="shared" ref="V196" si="131">A196</f>
        <v>194</v>
      </c>
      <c r="W196" s="10" t="str">
        <f t="shared" ref="W196" si="132">T196</f>
        <v>Броня квад.</v>
      </c>
      <c r="X196" s="97" t="str">
        <f>IF(AND(OR(Бланк!$O$22="Эльбор с тягами",Бланк!$P$22="Эльбор без тяг"),Бланк!$S$22=W196),$Z$1,IF(Бланк!$S$22=W196,HLOOKUP(Бланк!$M$18,Цены[#All],V196,0),""))</f>
        <v/>
      </c>
      <c r="Z196" s="32">
        <f t="shared" ref="Z196" si="133">S196</f>
        <v>194</v>
      </c>
      <c r="AA196" s="10" t="str">
        <f>T196</f>
        <v>Броня квад.</v>
      </c>
      <c r="AB196" s="97" t="str">
        <f>IF(AND(OR(Бланк!$P$38="Эльбор с тягами",Бланк!$P$38="Эльбор без тяг"),Бланк!$S$38=AA196),$Z$1,IF(Бланк!$S$38=AA196,HLOOKUP(Бланк!$M$34,Цены[#All],Z196,0),""))</f>
        <v/>
      </c>
    </row>
    <row r="197" spans="1:28" s="39" customFormat="1" ht="15.75">
      <c r="A197" s="39">
        <f t="shared" si="120"/>
        <v>195</v>
      </c>
      <c r="B197" s="117"/>
      <c r="C197" s="9" t="s">
        <v>1665</v>
      </c>
      <c r="D197" s="843" t="s">
        <v>1075</v>
      </c>
      <c r="E197" s="165" t="s">
        <v>1075</v>
      </c>
      <c r="F197" s="15">
        <f>E230</f>
        <v>19.3</v>
      </c>
      <c r="G197" s="843" t="s">
        <v>1075</v>
      </c>
      <c r="H197" s="15">
        <f>Цены[[#This Row],[О_2]]</f>
        <v>19.3</v>
      </c>
      <c r="I197" s="15">
        <f>Цены[[#This Row],[М_1]]</f>
        <v>19.3</v>
      </c>
      <c r="J197" s="119">
        <f t="shared" si="127"/>
        <v>19.3</v>
      </c>
      <c r="K197" s="154">
        <f>Цены[[#This Row],[М_3]]</f>
        <v>19.3</v>
      </c>
      <c r="L197" s="587"/>
      <c r="M197" s="75">
        <f t="shared" ref="M197" si="134">A197</f>
        <v>195</v>
      </c>
      <c r="N197" s="597" t="str">
        <f>N196</f>
        <v>Броня верх.</v>
      </c>
      <c r="O197" s="583" t="str">
        <f t="shared" ref="O197" si="135">IF(U197=$V$1,"Ошибка-1","")</f>
        <v/>
      </c>
      <c r="P197" s="583" t="str">
        <f t="shared" ref="P197" si="136">IF(X197=$V$1,"Ошибка-2","")</f>
        <v/>
      </c>
      <c r="Q197" s="617" t="str">
        <f t="shared" ref="Q197" si="137">IF(AB197=$V$1,"Ошибка-3","")</f>
        <v/>
      </c>
      <c r="S197" s="32">
        <f>Цена!A197</f>
        <v>195</v>
      </c>
      <c r="T197" s="62" t="str">
        <f>Цена!C197</f>
        <v>Броня никель</v>
      </c>
      <c r="U197" s="97" t="str">
        <f>IF(AND(OR(Бланк!$P$6="Эльбор без тяг",Бланк!$P$6="Эльбор с тягами"),Бланк!$S$6=T197),$V$1,IF(Бланк!$S$6=T197,HLOOKUP(Бланк!$M$2,Цены[#All],S197,0),""))</f>
        <v/>
      </c>
      <c r="V197" s="32">
        <f t="shared" ref="V197" si="138">A197</f>
        <v>195</v>
      </c>
      <c r="W197" s="10" t="str">
        <f t="shared" ref="W197" si="139">T197</f>
        <v>Броня никель</v>
      </c>
      <c r="X197" s="97" t="str">
        <f>IF(AND(OR(Бланк!$O$22="Эльбор с тягами",Бланк!$P$22="Эльбор без тяг"),Бланк!$S$22=W197),$Z$1,IF(Бланк!$S$22=W197,HLOOKUP(Бланк!$M$18,Цены[#All],V197,0),""))</f>
        <v/>
      </c>
      <c r="Z197" s="32">
        <f t="shared" ref="Z197" si="140">S197</f>
        <v>195</v>
      </c>
      <c r="AA197" s="10" t="str">
        <f>T197</f>
        <v>Броня никель</v>
      </c>
      <c r="AB197" s="97" t="str">
        <f>IF(AND(OR(Бланк!$P$38="Эльбор с тягами",Бланк!$P$38="Эльбор без тяг"),Бланк!$S$38=AA197),$Z$1,IF(Бланк!$S$38=AA197,HLOOKUP(Бланк!$M$34,Цены[#All],Z197,0),""))</f>
        <v/>
      </c>
    </row>
    <row r="198" spans="1:28" ht="15.75">
      <c r="A198" s="39">
        <f t="shared" si="120"/>
        <v>196</v>
      </c>
      <c r="B198" s="117" t="s">
        <v>40</v>
      </c>
      <c r="C198" s="9" t="s">
        <v>21</v>
      </c>
      <c r="D198" s="843">
        <v>-10</v>
      </c>
      <c r="E198" s="165">
        <v>-12</v>
      </c>
      <c r="F198" s="843">
        <v>-12</v>
      </c>
      <c r="G198" s="843">
        <v>-10</v>
      </c>
      <c r="H198" s="15">
        <v>-12</v>
      </c>
      <c r="I198" s="843">
        <v>-14</v>
      </c>
      <c r="J198" s="119">
        <v>-14</v>
      </c>
      <c r="K198" s="165"/>
      <c r="L198" s="75"/>
      <c r="M198" s="75">
        <f t="shared" si="88"/>
        <v>196</v>
      </c>
      <c r="N198" s="613" t="s">
        <v>40</v>
      </c>
      <c r="O198" s="583" t="str">
        <f t="shared" si="101"/>
        <v/>
      </c>
      <c r="P198" s="583" t="str">
        <f t="shared" si="102"/>
        <v/>
      </c>
      <c r="Q198" s="617" t="str">
        <f t="shared" si="103"/>
        <v/>
      </c>
      <c r="S198" s="32">
        <f>Цена!A198</f>
        <v>196</v>
      </c>
      <c r="T198" s="62" t="str">
        <f>Цена!C198</f>
        <v>нет</v>
      </c>
      <c r="U198" s="97" t="str">
        <f>IF(Бланк!$P$7=T198,HLOOKUP(Бланк!$M$2,Цены[#All],S198,0),"")</f>
        <v/>
      </c>
      <c r="V198" s="32">
        <f t="shared" si="104"/>
        <v>196</v>
      </c>
      <c r="W198" s="10" t="str">
        <f t="shared" si="67"/>
        <v>нет</v>
      </c>
      <c r="X198" s="97" t="str">
        <f>IF(Бланк!$P$23=W198,HLOOKUP(Бланк!$M$18,Цены[#All],V198,0),"")</f>
        <v/>
      </c>
      <c r="Z198" s="32">
        <f t="shared" si="63"/>
        <v>196</v>
      </c>
      <c r="AA198" s="10" t="str">
        <f t="shared" si="65"/>
        <v>нет</v>
      </c>
      <c r="AB198" s="97" t="str">
        <f>IF(Бланк!$P$39=AA198,HLOOKUP(Бланк!$M$34,Цены[#All],Z198,0),"")</f>
        <v/>
      </c>
    </row>
    <row r="199" spans="1:28" ht="15.75">
      <c r="A199" s="39">
        <f t="shared" si="120"/>
        <v>197</v>
      </c>
      <c r="B199" s="117"/>
      <c r="C199" s="9" t="s">
        <v>51</v>
      </c>
      <c r="D199" s="300">
        <v>21</v>
      </c>
      <c r="E199" s="165">
        <f>Цены[[#This Row],[О_0]]</f>
        <v>21</v>
      </c>
      <c r="F199" s="843">
        <f>Цены[[#This Row],[О_1]]</f>
        <v>21</v>
      </c>
      <c r="G199" s="843">
        <f>Цены[[#This Row],[О_2]]</f>
        <v>21</v>
      </c>
      <c r="H199" s="15">
        <f>Цены[[#This Row],[М_0]]</f>
        <v>21</v>
      </c>
      <c r="I199" s="843">
        <f>Цены[[#This Row],[М_1]]</f>
        <v>21</v>
      </c>
      <c r="J199" s="119">
        <f>Цены[[#This Row],[М_2]]</f>
        <v>21</v>
      </c>
      <c r="K199" s="165"/>
      <c r="L199" s="117"/>
      <c r="M199" s="75">
        <f t="shared" si="88"/>
        <v>197</v>
      </c>
      <c r="N199" s="613" t="s">
        <v>40</v>
      </c>
      <c r="O199" s="583" t="str">
        <f t="shared" si="101"/>
        <v/>
      </c>
      <c r="P199" s="583" t="str">
        <f t="shared" si="102"/>
        <v/>
      </c>
      <c r="Q199" s="617" t="str">
        <f t="shared" si="103"/>
        <v/>
      </c>
      <c r="S199" s="32">
        <f>Цена!A199</f>
        <v>197</v>
      </c>
      <c r="T199" s="62" t="str">
        <f>Цена!C199</f>
        <v>Кодовый мех.</v>
      </c>
      <c r="U199" s="97" t="str">
        <f>IF(Бланк!M2="Индивид.","",IF(AND(Бланк!$O$7=T199,OR(Бланк!$G$6="ПКТ",Бланк!$S$2="3-х конт.",Бланк!G11="МДФ_без_молд")),1/0,IF(Бланк!$P$7=T199,HLOOKUP(Бланк!$M$2,Цены[#All],S199,0),"")))</f>
        <v/>
      </c>
      <c r="V199" s="32">
        <f t="shared" si="104"/>
        <v>197</v>
      </c>
      <c r="W199" s="10" t="str">
        <f t="shared" si="67"/>
        <v>Кодовый мех.</v>
      </c>
      <c r="X199" s="97" t="str">
        <f>IF(AND(Бланк!$O$23=W199,OR(Бланк!$G$22="ПКТ",Бланк!$S$18="3-х конт.",Бланк!$G$27="МДФ_без_молд")),1/0,IF(Бланк!$P$23=W199,HLOOKUP(Бланк!$M$18,Цены[#All],V199,0),""))</f>
        <v/>
      </c>
      <c r="Z199" s="32">
        <f t="shared" si="63"/>
        <v>197</v>
      </c>
      <c r="AA199" s="10" t="str">
        <f t="shared" si="65"/>
        <v>Кодовый мех.</v>
      </c>
      <c r="AB199" s="97" t="str">
        <f>IF(AND(Бланк!$O$39=AA199,OR(Бланк!$G$38="ПКТ",Бланк!$S$34="3-х конт.",Бланк!G43="МДФ_без_молд")),1/0,IF(Бланк!$P$39=AA199,HLOOKUP(Бланк!$M$34,Цены[#All],Z199,0),""))</f>
        <v/>
      </c>
    </row>
    <row r="200" spans="1:28" s="39" customFormat="1" ht="15.75">
      <c r="A200" s="39">
        <f t="shared" si="120"/>
        <v>198</v>
      </c>
      <c r="B200" s="117"/>
      <c r="C200" s="419" t="s">
        <v>829</v>
      </c>
      <c r="D200" s="843"/>
      <c r="E200" s="421"/>
      <c r="F200" s="300"/>
      <c r="G200" s="843"/>
      <c r="H200" s="380"/>
      <c r="I200" s="300"/>
      <c r="J200" s="420"/>
      <c r="K200" s="421"/>
      <c r="L200" s="586"/>
      <c r="M200" s="75">
        <f t="shared" si="88"/>
        <v>198</v>
      </c>
      <c r="N200" s="613" t="s">
        <v>40</v>
      </c>
      <c r="O200" s="583" t="str">
        <f t="shared" si="101"/>
        <v/>
      </c>
      <c r="P200" s="583" t="str">
        <f t="shared" si="102"/>
        <v/>
      </c>
      <c r="Q200" s="617" t="str">
        <f t="shared" si="103"/>
        <v/>
      </c>
      <c r="R200" s="44"/>
      <c r="S200" s="32">
        <f>Цена!A200</f>
        <v>198</v>
      </c>
      <c r="T200" s="422" t="str">
        <f>Цена!C200</f>
        <v>Vela Т-42</v>
      </c>
      <c r="U200" s="423">
        <f>IF(Бланк!M2="Индивид.","",IF(Бланк!$O$7=T200,HLOOKUP(Бланк!$M$2,Цены[#All],S200,0),""))</f>
        <v>0</v>
      </c>
      <c r="V200" s="32">
        <f t="shared" si="104"/>
        <v>198</v>
      </c>
      <c r="W200" s="10" t="str">
        <f>T200</f>
        <v>Vela Т-42</v>
      </c>
      <c r="X200" s="97">
        <f>IF(Бланк!$O$23=W200,HLOOKUP(Бланк!$M$18,Цены[#All],V200,0),"")</f>
        <v>0</v>
      </c>
      <c r="Z200" s="32">
        <f t="shared" si="63"/>
        <v>198</v>
      </c>
      <c r="AA200" s="10" t="str">
        <f>T200</f>
        <v>Vela Т-42</v>
      </c>
      <c r="AB200" s="97">
        <f>IF(Бланк!$O$39=AA200,HLOOKUP(Бланк!$M$34,Цены[#All],Z200,0),"")</f>
        <v>0</v>
      </c>
    </row>
    <row r="201" spans="1:28" s="39" customFormat="1" ht="15.75">
      <c r="A201" s="39">
        <f t="shared" si="120"/>
        <v>199</v>
      </c>
      <c r="B201" s="117"/>
      <c r="C201" s="9" t="s">
        <v>633</v>
      </c>
      <c r="D201" s="300">
        <f>3*1.2</f>
        <v>3.5999999999999996</v>
      </c>
      <c r="E201" s="165">
        <f>Цены[[#This Row],[О_0]]</f>
        <v>3.5999999999999996</v>
      </c>
      <c r="F201" s="843" t="s">
        <v>1075</v>
      </c>
      <c r="G201" s="843">
        <f>Цены[[#This Row],[О_1]]</f>
        <v>3.5999999999999996</v>
      </c>
      <c r="H201" s="15">
        <f>Цены[[#This Row],[О_0]]</f>
        <v>3.5999999999999996</v>
      </c>
      <c r="I201" s="843" t="s">
        <v>1075</v>
      </c>
      <c r="J201" s="119" t="s">
        <v>1075</v>
      </c>
      <c r="K201" s="154"/>
      <c r="L201" s="587"/>
      <c r="M201" s="75">
        <f t="shared" si="88"/>
        <v>199</v>
      </c>
      <c r="N201" s="613" t="s">
        <v>40</v>
      </c>
      <c r="O201" s="583" t="str">
        <f t="shared" si="101"/>
        <v/>
      </c>
      <c r="P201" s="583" t="str">
        <f t="shared" si="102"/>
        <v/>
      </c>
      <c r="Q201" s="617" t="str">
        <f t="shared" si="103"/>
        <v/>
      </c>
      <c r="S201" s="32">
        <f>Цена!A201</f>
        <v>199</v>
      </c>
      <c r="T201" s="62" t="str">
        <f>Цена!C201</f>
        <v>Кале 152</v>
      </c>
      <c r="U201" s="97" t="str">
        <f>IF(Бланк!M2="Индивид.","",IF(AND(Бланк!$O$7=T201,OR(Бланк!$G$6="ПКТ",Бланк!$S$2="3-х конт.",Бланк!G11="МДФ_без_молд")),1/0,IF(Бланк!$O$7=T201,HLOOKUP(Бланк!$M$2,Цены[#All],S201,0),"")))</f>
        <v/>
      </c>
      <c r="V201" s="32">
        <f t="shared" si="104"/>
        <v>199</v>
      </c>
      <c r="W201" s="10" t="str">
        <f>T201</f>
        <v>Кале 152</v>
      </c>
      <c r="X201" s="97" t="str">
        <f>IF(AND(Бланк!$O$23=W201,OR(Бланк!$G$22="ПКТ",Бланк!$S$22="3-х конт.",Бланк!G27="МДФ_без_молд")),1/0,IF(Бланк!$O$23=W201,HLOOKUP(Бланк!$M$18,Цены[#All],V201,0),""))</f>
        <v/>
      </c>
      <c r="Z201" s="32">
        <f t="shared" si="63"/>
        <v>199</v>
      </c>
      <c r="AA201" s="10" t="str">
        <f>T201</f>
        <v>Кале 152</v>
      </c>
      <c r="AB201" s="97" t="str">
        <f>IF(AND(Бланк!$O$39=AA201,OR(Бланк!$G$38="ПКТ",Бланк!$S$34="3-х конт.",Бланк!G43="МДФ_без_молд")),1/0,IF(Бланк!$O$39=AA201,HLOOKUP(Бланк!$M$34,Цены[#All],Z201,0),""))</f>
        <v/>
      </c>
    </row>
    <row r="202" spans="1:28" s="39" customFormat="1" ht="15.75">
      <c r="A202" s="39">
        <f t="shared" si="120"/>
        <v>200</v>
      </c>
      <c r="B202" s="117"/>
      <c r="C202" s="9" t="s">
        <v>601</v>
      </c>
      <c r="D202" s="300">
        <f>5*1.2</f>
        <v>6</v>
      </c>
      <c r="E202" s="165">
        <f>Цены[[#This Row],[О_0]]</f>
        <v>6</v>
      </c>
      <c r="F202" s="165">
        <f>Цены[[#This Row],[О_1]]</f>
        <v>6</v>
      </c>
      <c r="G202" s="165">
        <f>Цены[[#This Row],[О_2]]</f>
        <v>6</v>
      </c>
      <c r="H202" s="154">
        <f>Цены[[#This Row],[М_0]]</f>
        <v>6</v>
      </c>
      <c r="I202" s="165">
        <f>Цены[[#This Row],[М_1]]</f>
        <v>6</v>
      </c>
      <c r="J202" s="119" t="s">
        <v>1075</v>
      </c>
      <c r="K202" s="165"/>
      <c r="L202" s="75"/>
      <c r="M202" s="75">
        <f t="shared" si="88"/>
        <v>200</v>
      </c>
      <c r="N202" s="613" t="s">
        <v>40</v>
      </c>
      <c r="O202" s="583" t="str">
        <f t="shared" si="101"/>
        <v/>
      </c>
      <c r="P202" s="583" t="str">
        <f t="shared" si="102"/>
        <v/>
      </c>
      <c r="Q202" s="617" t="str">
        <f t="shared" si="103"/>
        <v/>
      </c>
      <c r="S202" s="32">
        <f>Цена!A202</f>
        <v>200</v>
      </c>
      <c r="T202" s="62" t="str">
        <f>Цена!C202</f>
        <v>Kale 155 рол.</v>
      </c>
      <c r="U202" s="97" t="str">
        <f>IF(Бланк!M2="Индивид.","",IF(AND(Бланк!$O$7=T202,OR(Бланк!$G$6="ПКТ",Бланк!$S$2="3-х конт.",Бланк!G11="МДФ_без_молд")),1/0,IF(Бланк!$O$7=T202,HLOOKUP(Бланк!$M$2,Цены[#All],S202,0),"")))</f>
        <v/>
      </c>
      <c r="V202" s="32">
        <f t="shared" si="104"/>
        <v>200</v>
      </c>
      <c r="W202" s="10" t="str">
        <f t="shared" si="67"/>
        <v>Kale 155 рол.</v>
      </c>
      <c r="X202" s="97" t="str">
        <f>IF(AND(Бланк!$O$23=W202,OR(Бланк!$G$22="ПКТ",Бланк!$S$22="3-х конт.",Бланк!G27="МДФ_без_молд")),1/0,IF(Бланк!$P$23=W202,HLOOKUP(Бланк!$M$18,Цены[#All],V202,0),""))</f>
        <v/>
      </c>
      <c r="Z202" s="32">
        <f t="shared" ref="Z202:Z290" si="141">S202</f>
        <v>200</v>
      </c>
      <c r="AA202" s="10" t="str">
        <f t="shared" si="65"/>
        <v>Kale 155 рол.</v>
      </c>
      <c r="AB202" s="97" t="str">
        <f>IF(AND(Бланк!$O$39=AA202,OR(Бланк!$G$38="ПКТ",Бланк!$S$34="3-х конт.",Бланк!G43="МДФ_без_молд")),1/0,IF(Бланк!$O$39=AA202,HLOOKUP(Бланк!$M$34,Цены[#All],Z202,0),""))</f>
        <v/>
      </c>
    </row>
    <row r="203" spans="1:28" s="39" customFormat="1" ht="15.75">
      <c r="A203" s="39">
        <f t="shared" si="120"/>
        <v>201</v>
      </c>
      <c r="B203" s="117"/>
      <c r="C203" s="9" t="s">
        <v>602</v>
      </c>
      <c r="D203" s="300">
        <f>3</f>
        <v>3</v>
      </c>
      <c r="E203" s="165">
        <f>Цены[[#This Row],[О_0]]</f>
        <v>3</v>
      </c>
      <c r="F203" s="165">
        <f>Цены[[#This Row],[О_1]]</f>
        <v>3</v>
      </c>
      <c r="G203" s="165">
        <f>Цены[[#This Row],[О_2]]</f>
        <v>3</v>
      </c>
      <c r="H203" s="154">
        <f>Цены[[#This Row],[М_0]]</f>
        <v>3</v>
      </c>
      <c r="I203" s="165">
        <f>Цены[[#This Row],[М_1]]</f>
        <v>3</v>
      </c>
      <c r="J203" s="119" t="s">
        <v>1075</v>
      </c>
      <c r="K203" s="165"/>
      <c r="L203" s="75"/>
      <c r="M203" s="75">
        <f t="shared" si="88"/>
        <v>201</v>
      </c>
      <c r="N203" s="613" t="s">
        <v>40</v>
      </c>
      <c r="O203" s="583" t="str">
        <f t="shared" si="101"/>
        <v/>
      </c>
      <c r="P203" s="583" t="str">
        <f t="shared" si="102"/>
        <v/>
      </c>
      <c r="Q203" s="617" t="str">
        <f t="shared" si="103"/>
        <v/>
      </c>
      <c r="S203" s="32">
        <f>Цена!A203</f>
        <v>201</v>
      </c>
      <c r="T203" s="62" t="str">
        <f>Цена!C203</f>
        <v>Kale155-В рол.</v>
      </c>
      <c r="U203" s="97" t="str">
        <f>IF(Бланк!M2="Индивид.","",IF(AND(Бланк!$O$7=T203,OR(Бланк!$G$6="ПКТ",Бланк!$S$2="3-х конт.",Бланк!G11="МДФ_без_молд")),1/0,IF(Бланк!$P$7=T203,HLOOKUP(Бланк!$M$2,Цены[#All],S203,0),"")))</f>
        <v/>
      </c>
      <c r="V203" s="32">
        <f t="shared" si="104"/>
        <v>201</v>
      </c>
      <c r="W203" s="10" t="str">
        <f t="shared" si="67"/>
        <v>Kale155-В рол.</v>
      </c>
      <c r="X203" s="97" t="str">
        <f>IF(AND(Бланк!$O$23=W203,OR(Бланк!$G$22="ПКТ",Бланк!$S$22="3-х конт.",Бланк!$G$27="МДФ_без_молд")),1/0,IF(Бланк!$O$23=W203,HLOOKUP(Бланк!$M$18,Цены[#All],V203,0),""))</f>
        <v/>
      </c>
      <c r="Z203" s="32">
        <f t="shared" si="141"/>
        <v>201</v>
      </c>
      <c r="AA203" s="10" t="str">
        <f t="shared" si="65"/>
        <v>Kale155-В рол.</v>
      </c>
      <c r="AB203" s="97" t="str">
        <f>IF(AND(Бланк!$O$39=AA203,OR(Бланк!$G$38="ПКТ",Бланк!$S$34="3-х конт.",Бланк!G43="МДФ_без_молд")),1/0,IF(Бланк!$O$39=AA203,HLOOKUP(Бланк!$M$34,Цены[#All],Z203,0),""))</f>
        <v/>
      </c>
    </row>
    <row r="204" spans="1:28" ht="15.75">
      <c r="A204" s="39">
        <f t="shared" si="120"/>
        <v>202</v>
      </c>
      <c r="B204" s="117"/>
      <c r="C204" s="9" t="s">
        <v>820</v>
      </c>
      <c r="D204" s="843" t="s">
        <v>1075</v>
      </c>
      <c r="E204" s="165" t="s">
        <v>1075</v>
      </c>
      <c r="F204" s="15">
        <v>5</v>
      </c>
      <c r="G204" s="15">
        <v>5</v>
      </c>
      <c r="H204" s="15">
        <v>5</v>
      </c>
      <c r="I204" s="843">
        <v>5</v>
      </c>
      <c r="J204" s="119">
        <v>5</v>
      </c>
      <c r="K204" s="154"/>
      <c r="L204" s="587"/>
      <c r="M204" s="75">
        <f t="shared" si="88"/>
        <v>202</v>
      </c>
      <c r="N204" s="613" t="s">
        <v>40</v>
      </c>
      <c r="O204" s="583" t="str">
        <f t="shared" si="101"/>
        <v/>
      </c>
      <c r="P204" s="583" t="str">
        <f t="shared" si="102"/>
        <v/>
      </c>
      <c r="Q204" s="617" t="str">
        <f t="shared" si="103"/>
        <v/>
      </c>
      <c r="S204" s="32">
        <f>Цена!A204</f>
        <v>202</v>
      </c>
      <c r="T204" s="62" t="str">
        <f>Цена!C204</f>
        <v>Апекс Т-52</v>
      </c>
      <c r="U204" s="97" t="str">
        <f>IF(Бланк!M2="Индивид.","",IF(AND(Бланк!$O$7=T204,OR(Бланк!B8=T248,Бланк!B8=T249)),$V$1,IF(Бланк!$O$7=T204,HLOOKUP(Бланк!$M$2,Цены[#All],S204,0),"")))</f>
        <v/>
      </c>
      <c r="V204" s="32">
        <f t="shared" si="104"/>
        <v>202</v>
      </c>
      <c r="W204" s="10" t="str">
        <f t="shared" si="67"/>
        <v>Апекс Т-52</v>
      </c>
      <c r="X204" s="97" t="str">
        <f>IF(AND(Бланк!O23=W204,OR(Бланк!B24=W248,Бланк!B24=W249)),V1,IF(Бланк!$O$23=W204,HLOOKUP(Бланк!$M$18,Цены[#All],V204,0),""))</f>
        <v/>
      </c>
      <c r="Z204" s="32">
        <f t="shared" si="141"/>
        <v>202</v>
      </c>
      <c r="AA204" s="10" t="str">
        <f t="shared" si="65"/>
        <v>Апекс Т-52</v>
      </c>
      <c r="AB204" s="97" t="str">
        <f>IF(AND(Бланк!O39=AA204,OR(Бланк!B40=AA248,Бланк!B40=AA249)),$Z$1,IF(Бланк!$O$39=AA204,HLOOKUP(Бланк!$M$34,Цены[#All],Z204,0),""))</f>
        <v/>
      </c>
    </row>
    <row r="205" spans="1:28" s="426" customFormat="1" ht="15.75">
      <c r="A205" s="39">
        <f t="shared" si="120"/>
        <v>203</v>
      </c>
      <c r="B205" s="424"/>
      <c r="C205" s="419" t="s">
        <v>1060</v>
      </c>
      <c r="D205" s="380"/>
      <c r="E205" s="425"/>
      <c r="F205" s="15"/>
      <c r="G205" s="380"/>
      <c r="H205" s="380"/>
      <c r="I205" s="380"/>
      <c r="J205" s="119"/>
      <c r="K205" s="425"/>
      <c r="L205" s="585"/>
      <c r="M205" s="587">
        <f t="shared" si="88"/>
        <v>203</v>
      </c>
      <c r="N205" s="615" t="s">
        <v>40</v>
      </c>
      <c r="O205" s="589" t="str">
        <f t="shared" si="101"/>
        <v/>
      </c>
      <c r="P205" s="589" t="str">
        <f t="shared" si="102"/>
        <v/>
      </c>
      <c r="Q205" s="814" t="str">
        <f t="shared" si="103"/>
        <v/>
      </c>
      <c r="S205" s="534">
        <f>Цена!A205</f>
        <v>203</v>
      </c>
      <c r="T205" s="427" t="str">
        <f>Цена!C205</f>
        <v>Велло V-2000</v>
      </c>
      <c r="U205" s="423"/>
      <c r="V205" s="534">
        <f t="shared" si="104"/>
        <v>203</v>
      </c>
      <c r="W205" s="427" t="str">
        <f t="shared" si="67"/>
        <v>Велло V-2000</v>
      </c>
      <c r="X205" s="423"/>
      <c r="Z205" s="534">
        <f t="shared" ref="Z205" si="142">S205</f>
        <v>203</v>
      </c>
      <c r="AA205" s="427" t="str">
        <f t="shared" ref="AA205" si="143">T205</f>
        <v>Велло V-2000</v>
      </c>
      <c r="AB205" s="423"/>
    </row>
    <row r="206" spans="1:28" ht="15.75">
      <c r="A206" s="39">
        <f t="shared" si="120"/>
        <v>204</v>
      </c>
      <c r="B206" s="117"/>
      <c r="C206" s="9" t="s">
        <v>55</v>
      </c>
      <c r="D206" s="843" t="s">
        <v>1075</v>
      </c>
      <c r="E206" s="165" t="s">
        <v>1075</v>
      </c>
      <c r="F206" s="380">
        <f>12*1.2</f>
        <v>14.399999999999999</v>
      </c>
      <c r="G206" s="15">
        <f>Цены[[#This Row],[О_2]]</f>
        <v>14.399999999999999</v>
      </c>
      <c r="H206" s="15">
        <f>Цены[[#This Row],[М_0]]</f>
        <v>14.399999999999999</v>
      </c>
      <c r="I206" s="15">
        <f>Цены[[#This Row],[М_1]]</f>
        <v>14.399999999999999</v>
      </c>
      <c r="J206" s="119">
        <f>Цены[[#This Row],[М_2]]</f>
        <v>14.399999999999999</v>
      </c>
      <c r="K206" s="154"/>
      <c r="L206" s="587"/>
      <c r="M206" s="75">
        <f t="shared" si="88"/>
        <v>204</v>
      </c>
      <c r="N206" s="613" t="s">
        <v>40</v>
      </c>
      <c r="O206" s="583" t="str">
        <f t="shared" si="101"/>
        <v/>
      </c>
      <c r="P206" s="583" t="str">
        <f t="shared" si="102"/>
        <v/>
      </c>
      <c r="Q206" s="617" t="str">
        <f t="shared" si="103"/>
        <v/>
      </c>
      <c r="S206" s="32">
        <f>Цена!A206</f>
        <v>204</v>
      </c>
      <c r="T206" s="62" t="str">
        <f>Цена!C206</f>
        <v>Kale 252 R</v>
      </c>
      <c r="U206" s="97" t="str">
        <f>IF(Бланк!M2="Индивид.","",IF(AND(Бланк!$O$7=T206,OR(Бланк!B8=T248,Бланк!B8=T249)),$V$1,IF(Бланк!$O$7=T206,HLOOKUP(Бланк!$M$2,Цены[#All],S206,0),"")))</f>
        <v/>
      </c>
      <c r="V206" s="32">
        <f t="shared" si="104"/>
        <v>204</v>
      </c>
      <c r="W206" s="10" t="str">
        <f t="shared" si="67"/>
        <v>Kale 252 R</v>
      </c>
      <c r="X206" s="97" t="str">
        <f>IF(AND(Бланк!O23=W206,OR(Бланк!B24=W248,Бланк!B24=W249)),$Z$1,IF(Бланк!$O$23=W206,HLOOKUP(Бланк!$M$18,Цены[#All],V206,0),""))</f>
        <v/>
      </c>
      <c r="Z206" s="32">
        <f t="shared" si="141"/>
        <v>204</v>
      </c>
      <c r="AA206" s="10" t="str">
        <f t="shared" si="65"/>
        <v>Kale 252 R</v>
      </c>
      <c r="AB206" s="97" t="str">
        <f>IF(AND(Бланк!O39=AA206,OR(Бланк!B40=AA248,Бланк!B40=AA249)),$Z$1,IF(Бланк!$O$39=AA206,HLOOKUP(Бланк!$M$34,Цены[#All],Z206,0),""))</f>
        <v/>
      </c>
    </row>
    <row r="207" spans="1:28" s="39" customFormat="1" ht="15.75">
      <c r="A207" s="39">
        <f t="shared" si="120"/>
        <v>205</v>
      </c>
      <c r="B207" s="117"/>
      <c r="C207" s="9" t="s">
        <v>1117</v>
      </c>
      <c r="D207" s="843" t="s">
        <v>1075</v>
      </c>
      <c r="E207" s="165" t="s">
        <v>1075</v>
      </c>
      <c r="F207" s="300">
        <v>11</v>
      </c>
      <c r="G207" s="843">
        <f>Цены[[#This Row],[О_2]]</f>
        <v>11</v>
      </c>
      <c r="H207" s="15">
        <f>Цены[[#This Row],[М_0]]</f>
        <v>11</v>
      </c>
      <c r="I207" s="15">
        <f>Цены[[#This Row],[О_2]]</f>
        <v>11</v>
      </c>
      <c r="J207" s="119">
        <f>Цены[[#This Row],[О_2]]</f>
        <v>11</v>
      </c>
      <c r="K207" s="154"/>
      <c r="L207" s="587"/>
      <c r="M207" s="75">
        <f t="shared" si="88"/>
        <v>205</v>
      </c>
      <c r="N207" s="613" t="s">
        <v>40</v>
      </c>
      <c r="O207" s="583" t="str">
        <f t="shared" si="101"/>
        <v/>
      </c>
      <c r="P207" s="583" t="str">
        <f t="shared" si="102"/>
        <v/>
      </c>
      <c r="Q207" s="617" t="str">
        <f t="shared" si="103"/>
        <v/>
      </c>
      <c r="S207" s="32">
        <f>Цена!A207</f>
        <v>205</v>
      </c>
      <c r="T207" s="62" t="str">
        <f>Цена!C207</f>
        <v>Крит А-8</v>
      </c>
      <c r="U207" s="97" t="str">
        <f>IF(Бланк!M3="Индивид.","",IF(AND(Бланк!$O$7=T207,OR(Бланк!B8=T248,Бланк!B8=T249,U255="")),$V$1,IF(Бланк!$O$7=T207,HLOOKUP(Бланк!$M$2,Цены[#All],S207,0),"")))</f>
        <v/>
      </c>
      <c r="V207" s="32">
        <f t="shared" ref="V207" si="144">A207</f>
        <v>205</v>
      </c>
      <c r="W207" s="10" t="str">
        <f t="shared" ref="W207" si="145">T207</f>
        <v>Крит А-8</v>
      </c>
      <c r="X207" s="97" t="str">
        <f>IF(AND(Бланк!$O$23=W207,OR(Бланк!B24=T248,Бланк!B24=T249,X255="")),$V$1,IF(Бланк!$O$23=W207,HLOOKUP(Бланк!$M$18,Цены[#All],V207,0),""))</f>
        <v/>
      </c>
      <c r="Z207" s="32">
        <f t="shared" ref="Z207" si="146">S207</f>
        <v>205</v>
      </c>
      <c r="AA207" s="10" t="str">
        <f t="shared" ref="AA207" si="147">T207</f>
        <v>Крит А-8</v>
      </c>
      <c r="AB207" s="97" t="str">
        <f>IF(AND(Бланк!$O$39=AA207,OR(Бланк!B40=T248,Бланк!B40=T249,AB255="")),$V$1,IF(Бланк!$O$39=AA207,HLOOKUP(Бланк!$M$34,Цены[#All],Z207,0),""))</f>
        <v/>
      </c>
    </row>
    <row r="208" spans="1:28" s="39" customFormat="1" ht="15.75">
      <c r="A208" s="39">
        <f t="shared" si="120"/>
        <v>206</v>
      </c>
      <c r="B208" s="424"/>
      <c r="C208" s="651" t="s">
        <v>1643</v>
      </c>
      <c r="D208" s="843" t="s">
        <v>1075</v>
      </c>
      <c r="E208" s="165" t="s">
        <v>1075</v>
      </c>
      <c r="F208" s="300">
        <v>3</v>
      </c>
      <c r="G208" s="843">
        <f>Цены[[#This Row],[О_2]]</f>
        <v>3</v>
      </c>
      <c r="H208" s="15">
        <f>Цены[[#This Row],[М_0]]</f>
        <v>3</v>
      </c>
      <c r="I208" s="15">
        <f>F208</f>
        <v>3</v>
      </c>
      <c r="J208" s="119">
        <f>I208</f>
        <v>3</v>
      </c>
      <c r="K208" s="154"/>
      <c r="L208" s="589"/>
      <c r="M208" s="75">
        <f t="shared" si="88"/>
        <v>206</v>
      </c>
      <c r="N208" s="613" t="s">
        <v>40</v>
      </c>
      <c r="O208" s="583" t="str">
        <f t="shared" si="101"/>
        <v/>
      </c>
      <c r="P208" s="583" t="str">
        <f t="shared" si="102"/>
        <v/>
      </c>
      <c r="Q208" s="617" t="str">
        <f t="shared" si="103"/>
        <v/>
      </c>
      <c r="S208" s="32">
        <f>Цена!A208</f>
        <v>206</v>
      </c>
      <c r="T208" s="62" t="str">
        <f>Цена!C208</f>
        <v>Vela V252</v>
      </c>
      <c r="U208" s="97" t="str">
        <f>IF(Бланк!M3="Индивид.","",IF(AND(Бланк!$O$7=T208,OR(Бланк!B9=T248,Бланк!B9=T249)),$V$1,IF(Бланк!$O$7=T208,HLOOKUP(Бланк!$M$2,Цены[#All],S208,0),"")))</f>
        <v/>
      </c>
      <c r="V208" s="32">
        <f t="shared" si="104"/>
        <v>206</v>
      </c>
      <c r="W208" s="10" t="str">
        <f t="shared" ref="W208:W213" si="148">T208</f>
        <v>Vela V252</v>
      </c>
      <c r="X208" s="97" t="str">
        <f>IF(AND(Бланк!O24=W208,OR(Бланк!B25=W248,Бланк!B25=W249)),$Z$1,IF(Бланк!$O$23=W208,HLOOKUP(Бланк!$M$18,Цены[#All],V208,0),""))</f>
        <v/>
      </c>
      <c r="Z208" s="32">
        <f t="shared" ref="Z208:AA213" si="149">S208</f>
        <v>206</v>
      </c>
      <c r="AA208" s="10" t="str">
        <f t="shared" si="149"/>
        <v>Vela V252</v>
      </c>
      <c r="AB208" s="97" t="str">
        <f>IF(AND(Бланк!O40=AA208,OR(Бланк!B41=AA248,Бланк!B41=AA249)),$Z$1,IF(Бланк!$O$39=AA208,HLOOKUP(Бланк!$M$34,Цены[#All],Z208,0),""))</f>
        <v/>
      </c>
    </row>
    <row r="209" spans="1:28" s="39" customFormat="1" ht="15.75">
      <c r="A209" s="39">
        <f t="shared" si="120"/>
        <v>207</v>
      </c>
      <c r="B209" s="424"/>
      <c r="C209" s="419" t="s">
        <v>1185</v>
      </c>
      <c r="D209" s="843" t="s">
        <v>1075</v>
      </c>
      <c r="E209" s="165" t="s">
        <v>1075</v>
      </c>
      <c r="F209" s="843" t="str">
        <f>Цены[[#This Row],[О_1]]</f>
        <v>Ошибка</v>
      </c>
      <c r="G209" s="843" t="str">
        <f>Цены[[#This Row],[О_2]]</f>
        <v>Ошибка</v>
      </c>
      <c r="H209" s="15" t="str">
        <f>Цены[[#This Row],[М_0]]</f>
        <v>Ошибка</v>
      </c>
      <c r="I209" s="300">
        <v>21</v>
      </c>
      <c r="J209" s="119">
        <f>Цены[[#This Row],[М_2]]</f>
        <v>21</v>
      </c>
      <c r="K209" s="154"/>
      <c r="L209" s="589"/>
      <c r="M209" s="75">
        <f t="shared" si="88"/>
        <v>207</v>
      </c>
      <c r="N209" s="613" t="s">
        <v>40</v>
      </c>
      <c r="O209" s="583" t="str">
        <f t="shared" ref="O209" si="150">IF(U209=$V$1,"Ошибка-1","")</f>
        <v/>
      </c>
      <c r="P209" s="583" t="str">
        <f t="shared" ref="P209" si="151">IF(X209=$V$1,"Ошибка-2","")</f>
        <v/>
      </c>
      <c r="Q209" s="617" t="str">
        <f t="shared" ref="Q209" si="152">IF(AB209=$V$1,"Ошибка-3","")</f>
        <v/>
      </c>
      <c r="S209" s="32">
        <f>Цена!A209</f>
        <v>207</v>
      </c>
      <c r="T209" s="62" t="str">
        <f>Цена!C209</f>
        <v>Fuaro V25</v>
      </c>
      <c r="U209" s="97" t="str">
        <f>IF(Бланк!M2="Индивид.","",IF(Бланк!$O$7=T209,HLOOKUP(Бланк!$M$2,Цены[#All],S209,0),""))</f>
        <v/>
      </c>
      <c r="V209" s="32">
        <f t="shared" ref="V209" si="153">A209</f>
        <v>207</v>
      </c>
      <c r="W209" s="10" t="str">
        <f t="shared" si="148"/>
        <v>Fuaro V25</v>
      </c>
      <c r="X209" s="97" t="str">
        <f>IF(AND(Бланк!O25=W209,OR(Бланк!B26=W248,Бланк!B26=W249)),$Z$1,IF(Бланк!$O$23=W209,HLOOKUP(Бланк!$M$18,Цены[#All],V209,0),""))</f>
        <v/>
      </c>
      <c r="Z209" s="32">
        <f t="shared" ref="Z209" si="154">S209</f>
        <v>207</v>
      </c>
      <c r="AA209" s="10" t="str">
        <f t="shared" ref="AA209" si="155">T209</f>
        <v>Fuaro V25</v>
      </c>
      <c r="AB209" s="97" t="str">
        <f>IF(AND(Бланк!O41=AA209,OR(Бланк!B42=AA248,Бланк!B42=AA249)),$Z$1,IF(Бланк!$O$39=AA209,HLOOKUP(Бланк!$M$34,Цены[#All],Z209,0),""))</f>
        <v/>
      </c>
    </row>
    <row r="210" spans="1:28" s="39" customFormat="1" ht="15.75">
      <c r="A210" s="39">
        <f t="shared" si="120"/>
        <v>208</v>
      </c>
      <c r="B210" s="424"/>
      <c r="C210" s="419" t="s">
        <v>1664</v>
      </c>
      <c r="D210" s="843" t="s">
        <v>1075</v>
      </c>
      <c r="E210" s="165" t="s">
        <v>1075</v>
      </c>
      <c r="F210" s="843">
        <v>21</v>
      </c>
      <c r="G210" s="843">
        <f>Цены[[#This Row],[О_2]]</f>
        <v>21</v>
      </c>
      <c r="H210" s="15">
        <f>Цены[[#This Row],[М_0]]</f>
        <v>21</v>
      </c>
      <c r="I210" s="300">
        <f>F210</f>
        <v>21</v>
      </c>
      <c r="J210" s="119">
        <f>I210</f>
        <v>21</v>
      </c>
      <c r="K210" s="154"/>
      <c r="L210" s="589"/>
      <c r="M210" s="75">
        <f t="shared" si="88"/>
        <v>208</v>
      </c>
      <c r="N210" s="613" t="s">
        <v>40</v>
      </c>
      <c r="O210" s="583" t="str">
        <f t="shared" ref="O210" si="156">IF(U210=$V$1,"Ошибка-1","")</f>
        <v/>
      </c>
      <c r="P210" s="583" t="str">
        <f t="shared" ref="P210" si="157">IF(X210=$V$1,"Ошибка-2","")</f>
        <v/>
      </c>
      <c r="Q210" s="617" t="str">
        <f t="shared" ref="Q210" si="158">IF(AB210=$V$1,"Ошибка-3","")</f>
        <v/>
      </c>
      <c r="S210" s="32">
        <f>Цена!A210</f>
        <v>208</v>
      </c>
      <c r="T210" s="62" t="str">
        <f>Цена!C210</f>
        <v>Мottura DP58.171</v>
      </c>
      <c r="U210" s="97" t="str">
        <f>IF(Бланк!M3="Индивид.","",IF(Бланк!$O$7=T210,HLOOKUP(Бланк!$M$2,Цены[#All],S210,0),""))</f>
        <v/>
      </c>
      <c r="V210" s="32">
        <f t="shared" ref="V210" si="159">A210</f>
        <v>208</v>
      </c>
      <c r="W210" s="10" t="str">
        <f t="shared" si="148"/>
        <v>Мottura DP58.171</v>
      </c>
      <c r="X210" s="97" t="str">
        <f>IF(AND(Бланк!O26=W210,OR(Бланк!B27=W249,Бланк!B27=W250)),$Z$1,IF(Бланк!$O$23=W210,HLOOKUP(Бланк!$M$18,Цены[#All],V210,0),""))</f>
        <v/>
      </c>
      <c r="Z210" s="32">
        <f t="shared" ref="Z210" si="160">S210</f>
        <v>208</v>
      </c>
      <c r="AA210" s="10" t="str">
        <f t="shared" ref="AA210" si="161">T210</f>
        <v>Мottura DP58.171</v>
      </c>
      <c r="AB210" s="97" t="str">
        <f>IF(AND(Бланк!O42=AA210,OR(Бланк!B43=AA249,Бланк!B43=AA250)),$Z$1,IF(Бланк!$O$39=AA210,HLOOKUP(Бланк!$M$34,Цены[#All],Z210,0),""))</f>
        <v/>
      </c>
    </row>
    <row r="211" spans="1:28" s="39" customFormat="1" ht="15.75">
      <c r="A211" s="39">
        <f t="shared" si="120"/>
        <v>209</v>
      </c>
      <c r="B211" s="117"/>
      <c r="C211" s="9" t="s">
        <v>622</v>
      </c>
      <c r="D211" s="843" t="s">
        <v>1075</v>
      </c>
      <c r="E211" s="165" t="s">
        <v>1075</v>
      </c>
      <c r="F211" s="843">
        <v>5</v>
      </c>
      <c r="G211" s="843" t="s">
        <v>1075</v>
      </c>
      <c r="H211" s="15">
        <v>5</v>
      </c>
      <c r="I211" s="843">
        <v>5</v>
      </c>
      <c r="J211" s="119">
        <v>5</v>
      </c>
      <c r="K211" s="154"/>
      <c r="L211" s="589"/>
      <c r="M211" s="75">
        <f t="shared" si="88"/>
        <v>209</v>
      </c>
      <c r="N211" s="613" t="s">
        <v>40</v>
      </c>
      <c r="O211" s="583" t="str">
        <f t="shared" si="101"/>
        <v/>
      </c>
      <c r="P211" s="583" t="str">
        <f t="shared" si="102"/>
        <v/>
      </c>
      <c r="Q211" s="617" t="str">
        <f t="shared" si="103"/>
        <v/>
      </c>
      <c r="S211" s="32">
        <f>Цена!A211</f>
        <v>209</v>
      </c>
      <c r="T211" s="62" t="str">
        <f>Цена!C211</f>
        <v>эл.мех.замок</v>
      </c>
      <c r="U211" s="97" t="str">
        <f>IF(Бланк!M2="Индивид.","",IF(AND(Бланк!M1="М_1",Бланк!P6="домофон",Бланк!G10="металл_"),Цены[[#This Row],[М_0]],IF(Бланк!$O$7=T211,HLOOKUP(Бланк!$M$2,Цены[#All],S211,0),"")))</f>
        <v/>
      </c>
      <c r="V211" s="32">
        <f t="shared" si="104"/>
        <v>209</v>
      </c>
      <c r="W211" s="10" t="str">
        <f t="shared" si="148"/>
        <v>эл.мех.замок</v>
      </c>
      <c r="X211" s="97" t="str">
        <f>IF(AND(Бланк!M17="М_1",Бланк!P22="Домофон",Бланк!G26="металл_"),Цены[[#This Row],[М_0]],IF(Бланк!$O$23=W211,HLOOKUP(Бланк!$M$18,Цены[#All],V211,0),""))</f>
        <v/>
      </c>
      <c r="Z211" s="32">
        <f t="shared" si="149"/>
        <v>209</v>
      </c>
      <c r="AA211" s="10" t="str">
        <f t="shared" si="149"/>
        <v>эл.мех.замок</v>
      </c>
      <c r="AB211" s="97" t="str">
        <f>IF(AND(Бланк!M33="М_1",Бланк!P38="Домофон",Бланк!G42="металл_"),Цены[[#This Row],[М_0]],IF(Бланк!$O$39=AA211,HLOOKUP(Бланк!$M$34,Цены[#All],Z211,0),""))</f>
        <v/>
      </c>
    </row>
    <row r="212" spans="1:28" s="39" customFormat="1" ht="15.75">
      <c r="A212" s="39">
        <f t="shared" si="120"/>
        <v>210</v>
      </c>
      <c r="B212" s="117"/>
      <c r="C212" s="9" t="s">
        <v>680</v>
      </c>
      <c r="D212" s="843" t="s">
        <v>1075</v>
      </c>
      <c r="E212" s="165" t="s">
        <v>1075</v>
      </c>
      <c r="F212" s="300">
        <v>10</v>
      </c>
      <c r="G212" s="843" t="s">
        <v>1075</v>
      </c>
      <c r="H212" s="15">
        <f>Цены[[#This Row],[О_2]]</f>
        <v>10</v>
      </c>
      <c r="I212" s="843">
        <f>Цены[[#This Row],[М_1]]</f>
        <v>10</v>
      </c>
      <c r="J212" s="119">
        <f>Цены[[#This Row],[М_1]]</f>
        <v>10</v>
      </c>
      <c r="K212" s="154">
        <f>Цены[[#This Row],[М_3]]</f>
        <v>10</v>
      </c>
      <c r="L212" s="589"/>
      <c r="M212" s="75">
        <f t="shared" si="88"/>
        <v>210</v>
      </c>
      <c r="N212" s="613" t="s">
        <v>40</v>
      </c>
      <c r="O212" s="583" t="str">
        <f t="shared" si="101"/>
        <v/>
      </c>
      <c r="P212" s="583" t="str">
        <f t="shared" si="102"/>
        <v/>
      </c>
      <c r="Q212" s="617" t="str">
        <f t="shared" si="103"/>
        <v/>
      </c>
      <c r="S212" s="32">
        <f>Цена!A212</f>
        <v>210</v>
      </c>
      <c r="T212" s="62" t="str">
        <f>Цена!C212</f>
        <v>биометрический</v>
      </c>
      <c r="U212" s="97" t="str">
        <f>IF(Бланк!M2="Индивид.","",IF(AND(Бланк!F11="ДСП",Бланк!P7="биометрический"),V1,IF(Бланк!$O$7=T212,HLOOKUP(Бланк!$M$2,Цены[#All],S212,0),"")))</f>
        <v/>
      </c>
      <c r="V212" s="32">
        <f t="shared" si="104"/>
        <v>210</v>
      </c>
      <c r="W212" s="10" t="str">
        <f t="shared" si="148"/>
        <v>биометрический</v>
      </c>
      <c r="X212" s="97" t="str">
        <f>IF(AND(Бланк!F27="ДСП",Бланк!P23="биометрический"),1/0,IF(Бланк!$O$23=W212,HLOOKUP(Бланк!$M$18,Цены[#All],V212,0),""))</f>
        <v/>
      </c>
      <c r="Z212" s="32">
        <f t="shared" si="149"/>
        <v>210</v>
      </c>
      <c r="AA212" s="10" t="str">
        <f t="shared" si="149"/>
        <v>биометрический</v>
      </c>
      <c r="AB212" s="97" t="str">
        <f>IF(AND(Бланк!O39="биометрический",Бланк!F43="ДСП"),1/0,IF(Бланк!$O$39=AA212,HLOOKUP(Бланк!$M$34,Цены[#All],Z212,0),""))</f>
        <v/>
      </c>
    </row>
    <row r="213" spans="1:28" s="39" customFormat="1" ht="15.75">
      <c r="A213" s="39">
        <f t="shared" si="120"/>
        <v>211</v>
      </c>
      <c r="B213" s="117"/>
      <c r="C213" s="9" t="s">
        <v>608</v>
      </c>
      <c r="D213" s="843" t="s">
        <v>1075</v>
      </c>
      <c r="E213" s="165" t="s">
        <v>1075</v>
      </c>
      <c r="F213" s="843" t="s">
        <v>1075</v>
      </c>
      <c r="G213" s="15">
        <v>20</v>
      </c>
      <c r="H213" s="15" t="b">
        <f>I212=H212</f>
        <v>1</v>
      </c>
      <c r="I213" s="843" t="s">
        <v>1075</v>
      </c>
      <c r="J213" s="119" t="s">
        <v>1075</v>
      </c>
      <c r="K213" s="165"/>
      <c r="L213" s="75"/>
      <c r="M213" s="75">
        <f t="shared" si="88"/>
        <v>211</v>
      </c>
      <c r="N213" s="613" t="s">
        <v>40</v>
      </c>
      <c r="O213" s="583" t="str">
        <f t="shared" si="101"/>
        <v/>
      </c>
      <c r="P213" s="583" t="str">
        <f t="shared" si="102"/>
        <v/>
      </c>
      <c r="Q213" s="617" t="str">
        <f t="shared" si="103"/>
        <v/>
      </c>
      <c r="S213" s="32">
        <f>Цена!A213</f>
        <v>211</v>
      </c>
      <c r="T213" s="62" t="str">
        <f>Цена!C213</f>
        <v>Домофон</v>
      </c>
      <c r="U213" s="97" t="str">
        <f>IF(Бланк!M2="Индивид.","",IF(AND(Бланк!M2="М_1",Бланк!P7="домофон",Бланк!G11="металл_"),Цены[[#This Row],[М_0]],IF(Бланк!$O$7=T213,HLOOKUP(Бланк!$M$2,Цены[#All],S213,0),"")))</f>
        <v/>
      </c>
      <c r="V213" s="32">
        <f t="shared" si="104"/>
        <v>211</v>
      </c>
      <c r="W213" s="10" t="str">
        <f t="shared" si="148"/>
        <v>Домофон</v>
      </c>
      <c r="X213" s="97" t="str">
        <f>IF(AND(Бланк!M18="М_1",Бланк!P23="Домофон",Бланк!G27="металл_"),Цены[[#This Row],[М_0]],IF(Бланк!$O$23=W213,HLOOKUP(Бланк!$M$18,Цены[#All],V213,0),""))</f>
        <v/>
      </c>
      <c r="Z213" s="32">
        <f t="shared" si="149"/>
        <v>211</v>
      </c>
      <c r="AA213" s="10" t="str">
        <f t="shared" si="149"/>
        <v>Домофон</v>
      </c>
      <c r="AB213" s="97" t="str">
        <f>IF(AND(Бланк!M34="М_1",Бланк!P39="Домофон",Бланк!G43="металл_"),Цены[[#This Row],[М_0]],IF(Бланк!$O$39=AA213,HLOOKUP(Бланк!$M$34,Цены[#All],Z213,0),""))</f>
        <v/>
      </c>
    </row>
    <row r="214" spans="1:28" s="447" customFormat="1" ht="15.75">
      <c r="A214" s="39">
        <f t="shared" si="120"/>
        <v>212</v>
      </c>
      <c r="B214" s="743" t="s">
        <v>906</v>
      </c>
      <c r="C214" s="442"/>
      <c r="D214" s="443"/>
      <c r="E214" s="751"/>
      <c r="F214" s="444"/>
      <c r="G214" s="443"/>
      <c r="H214" s="444"/>
      <c r="I214" s="444"/>
      <c r="J214" s="445"/>
      <c r="K214" s="446"/>
      <c r="L214" s="588"/>
      <c r="M214" s="75">
        <f t="shared" si="88"/>
        <v>212</v>
      </c>
      <c r="N214" s="642" t="s">
        <v>1187</v>
      </c>
      <c r="O214" s="583" t="str">
        <f t="shared" si="101"/>
        <v/>
      </c>
      <c r="P214" s="583" t="str">
        <f t="shared" si="102"/>
        <v/>
      </c>
      <c r="Q214" s="617" t="str">
        <f t="shared" si="103"/>
        <v/>
      </c>
      <c r="S214" s="32">
        <f>Цена!A214</f>
        <v>212</v>
      </c>
      <c r="T214" s="448"/>
      <c r="U214" s="449">
        <f>IF(Бланк!M2="Индивид.","",Фурнитура!B73)</f>
        <v>0</v>
      </c>
      <c r="V214" s="32">
        <f t="shared" si="104"/>
        <v>212</v>
      </c>
      <c r="W214" s="448"/>
      <c r="X214" s="449">
        <f>Фурнитура!D73</f>
        <v>0</v>
      </c>
      <c r="Z214" s="32">
        <f>S214</f>
        <v>212</v>
      </c>
      <c r="AA214" s="448"/>
      <c r="AB214" s="449">
        <f>Фурнитура!F73</f>
        <v>0</v>
      </c>
    </row>
    <row r="215" spans="1:28" s="39" customFormat="1" ht="15.75">
      <c r="A215" s="39">
        <f t="shared" si="120"/>
        <v>213</v>
      </c>
      <c r="B215" s="299" t="s">
        <v>883</v>
      </c>
      <c r="C215" s="419" t="s">
        <v>882</v>
      </c>
      <c r="D215" s="300">
        <v>3</v>
      </c>
      <c r="E215" s="604">
        <f>Цены[[#This Row],[О_0]]</f>
        <v>3</v>
      </c>
      <c r="F215" s="577">
        <f>Цены[[#This Row],[О_1]]</f>
        <v>3</v>
      </c>
      <c r="G215" s="577">
        <f>Цены[[#This Row],[О_2]]</f>
        <v>3</v>
      </c>
      <c r="H215" s="580">
        <f>Цены[[#This Row],[М_0]]</f>
        <v>3</v>
      </c>
      <c r="I215" s="577">
        <f>Цены[[#This Row],[М_1]]</f>
        <v>3</v>
      </c>
      <c r="J215" s="605">
        <f>Цены[[#This Row],[М_2]]</f>
        <v>3</v>
      </c>
      <c r="K215" s="421"/>
      <c r="L215" s="586"/>
      <c r="M215" s="75">
        <f t="shared" si="88"/>
        <v>213</v>
      </c>
      <c r="N215" s="596" t="str">
        <f>Цены[[#This Row],[Столбец1]]</f>
        <v>накладка низ</v>
      </c>
      <c r="O215" s="583" t="str">
        <f t="shared" si="101"/>
        <v/>
      </c>
      <c r="P215" s="583" t="str">
        <f t="shared" si="102"/>
        <v/>
      </c>
      <c r="Q215" s="617" t="str">
        <f t="shared" si="103"/>
        <v/>
      </c>
      <c r="R215" s="44"/>
      <c r="S215" s="32">
        <f>Цена!A215</f>
        <v>213</v>
      </c>
      <c r="T215" s="422" t="str">
        <f>Цена!C215</f>
        <v>DP-11</v>
      </c>
      <c r="U215" s="423" t="str">
        <f>IF(AND(Бланк!$M$2="Индивид.",Бланк!$M$11=""),"",IF(AND(Бланк!$S$7=T215,Бланк!$R$7=""),$V$1,IF(AND(Бланк!$S$7=T215,Бланк!$V$8="Броня"),$V$1,IF(Бланк!$S$7=T215,HLOOKUP(Бланк!$M$2,Цены[#All],S215,0),""))))</f>
        <v/>
      </c>
      <c r="V215" s="32">
        <f t="shared" si="104"/>
        <v>213</v>
      </c>
      <c r="W215" s="10" t="str">
        <f>T215</f>
        <v>DP-11</v>
      </c>
      <c r="X215" s="423" t="str">
        <f>IF(AND(Бланк!$S$23=W215,Бланк!$R$23=""),$Z$1,IF(AND(Бланк!$S$23=W215,Бланк!$V$24="Броня"),$Z$1,IF(Бланк!$S$23=W215,HLOOKUP(Бланк!$M$18,Цены[#All],V215,0),"")))</f>
        <v/>
      </c>
      <c r="Z215" s="32">
        <f>S215</f>
        <v>213</v>
      </c>
      <c r="AA215" s="10" t="str">
        <f>T215</f>
        <v>DP-11</v>
      </c>
      <c r="AB215" s="423" t="str">
        <f>IF(AND(Бланк!$S$39=AA215,Бланк!$R$39=""),$Z$1,IF(AND(Бланк!$S$39=AA215,Бланк!$V$40="Броня"),$Z$1,IF(Бланк!$S$39=AA215,HLOOKUP(Бланк!$M$34,Цены[#All],Z215,0),"")))</f>
        <v/>
      </c>
    </row>
    <row r="216" spans="1:28" s="39" customFormat="1" ht="15.75">
      <c r="A216" s="39">
        <f t="shared" si="120"/>
        <v>214</v>
      </c>
      <c r="B216" s="299"/>
      <c r="C216" s="419" t="s">
        <v>886</v>
      </c>
      <c r="D216" s="300">
        <v>2</v>
      </c>
      <c r="E216" s="421">
        <v>2</v>
      </c>
      <c r="F216" s="300">
        <v>2</v>
      </c>
      <c r="G216" s="300">
        <v>2</v>
      </c>
      <c r="H216" s="380">
        <v>2</v>
      </c>
      <c r="I216" s="300">
        <v>2</v>
      </c>
      <c r="J216" s="420">
        <v>2</v>
      </c>
      <c r="K216" s="421"/>
      <c r="L216" s="586"/>
      <c r="M216" s="75">
        <f t="shared" si="88"/>
        <v>214</v>
      </c>
      <c r="N216" s="597" t="str">
        <f>B215</f>
        <v>накладка низ</v>
      </c>
      <c r="O216" s="583" t="str">
        <f>IF(U216=$V$1,"Ошибка-1","")</f>
        <v/>
      </c>
      <c r="P216" s="583" t="str">
        <f>IF(X216=$V$1,"Ошибка-2","")</f>
        <v/>
      </c>
      <c r="Q216" s="617" t="str">
        <f>IF(AB216=$V$1,"Ошибка-3","")</f>
        <v/>
      </c>
      <c r="R216" s="44"/>
      <c r="S216" s="32">
        <f>Цена!A216</f>
        <v>214</v>
      </c>
      <c r="T216" s="422" t="str">
        <f>Цена!C216</f>
        <v>Стандарт_</v>
      </c>
      <c r="U216" s="423" t="str">
        <f>IF(AND(Бланк!$M$2="Индивид.",Бланк!$M$11=""),"",IF(AND(Бланк!$S$7=T216,Бланк!$R$7=""),$V$1,IF(AND(Бланк!$S$7=T216,Бланк!$V$8="Броня"),$V$1,IF(Бланк!$S$7=T216,HLOOKUP(Бланк!$M$2,Цены[#All],S216,0),""))))</f>
        <v/>
      </c>
      <c r="V216" s="32">
        <f t="shared" ref="V216" si="162">A216</f>
        <v>214</v>
      </c>
      <c r="W216" s="10" t="str">
        <f>T216</f>
        <v>Стандарт_</v>
      </c>
      <c r="X216" s="423" t="str">
        <f>IF(AND(Бланк!$S$23=W216,Бланк!$R$23=""),$Z$1,IF(AND(Бланк!$S$23=W216,Бланк!$V$24="Броня"),$Z$1,IF(Бланк!$S$23=W216,HLOOKUP(Бланк!$M$18,Цены[#All],V216,0),"")))</f>
        <v/>
      </c>
      <c r="Z216" s="32">
        <f>S216</f>
        <v>214</v>
      </c>
      <c r="AA216" s="10" t="str">
        <f>T216</f>
        <v>Стандарт_</v>
      </c>
      <c r="AB216" s="423" t="str">
        <f>IF(AND(Бланк!$S$39=AA216,Бланк!$R$39=""),$Z$1,IF(AND(Бланк!$S$39=AA216,Бланк!$V$40="Броня"),$Z$1,IF(Бланк!$S$39=AA216,HLOOKUP(Бланк!$M$34,Цены[#All],Z216,0),"")))</f>
        <v/>
      </c>
    </row>
    <row r="217" spans="1:28" s="39" customFormat="1" ht="15.75">
      <c r="A217" s="39">
        <f t="shared" si="120"/>
        <v>215</v>
      </c>
      <c r="B217" s="424"/>
      <c r="C217" s="9" t="s">
        <v>1139</v>
      </c>
      <c r="D217" s="843" t="s">
        <v>1075</v>
      </c>
      <c r="E217" s="425">
        <v>4</v>
      </c>
      <c r="F217" s="630">
        <f>Цены[[#This Row],[О_1]]</f>
        <v>4</v>
      </c>
      <c r="G217" s="630" t="str">
        <f>Цены[[#This Row],[О_0]]</f>
        <v>Ошибка</v>
      </c>
      <c r="H217" s="630">
        <f>Цены[[#This Row],[О_1]]</f>
        <v>4</v>
      </c>
      <c r="I217" s="630">
        <f>Цены[[#This Row],[О_1]]</f>
        <v>4</v>
      </c>
      <c r="J217" s="665">
        <f>Цены[[#This Row],[О_1]]</f>
        <v>4</v>
      </c>
      <c r="K217" s="425"/>
      <c r="L217" s="585"/>
      <c r="M217" s="75">
        <f t="shared" si="88"/>
        <v>215</v>
      </c>
      <c r="N217" s="597" t="str">
        <f>B215</f>
        <v>накладка низ</v>
      </c>
      <c r="O217" s="583" t="str">
        <f t="shared" si="101"/>
        <v/>
      </c>
      <c r="P217" s="583" t="str">
        <f t="shared" si="102"/>
        <v/>
      </c>
      <c r="Q217" s="617" t="str">
        <f t="shared" si="103"/>
        <v/>
      </c>
      <c r="R217" s="426"/>
      <c r="S217" s="99">
        <f>Цена!A217</f>
        <v>215</v>
      </c>
      <c r="T217" s="427" t="str">
        <f>Цены[[#This Row],[Параметр]]</f>
        <v>квад.хром</v>
      </c>
      <c r="U217" s="423" t="str">
        <f>IF(AND(Бланк!$M$2="Индивид.",Бланк!$M$11=""),"",IF(AND(Бланк!$S$7=T217,Бланк!$R$7=""),$V$1,IF(AND(Бланк!$S$7=T217,Бланк!$V$8="Броня"),$V$1,IF(Бланк!$S$7=T217,HLOOKUP(Бланк!$M$2,Цены[#All],S217,0),""))))</f>
        <v/>
      </c>
      <c r="V217" s="32">
        <f t="shared" ref="V217:V218" si="163">A217</f>
        <v>215</v>
      </c>
      <c r="W217" s="10" t="str">
        <f t="shared" ref="W217:W218" si="164">T217</f>
        <v>квад.хром</v>
      </c>
      <c r="X217" s="423" t="str">
        <f>IF(AND(Бланк!$S$23=W217,Бланк!$R$23=""),$Z$1,IF(AND(Бланк!$S$23=W217,Бланк!$V$24="Броня"),$Z$1,IF(Бланк!$S$23=W217,HLOOKUP(Бланк!$M$18,Цены[#All],V217,0),"")))</f>
        <v/>
      </c>
      <c r="Z217" s="32">
        <f t="shared" ref="Z217:Z218" si="165">S217</f>
        <v>215</v>
      </c>
      <c r="AA217" s="10" t="str">
        <f t="shared" ref="AA217:AA218" si="166">T217</f>
        <v>квад.хром</v>
      </c>
      <c r="AB217" s="423" t="str">
        <f>IF(AND(Бланк!$S$39=AA217,Бланк!$R$39=""),$Z$1,IF(AND(Бланк!$S$39=AA217,Бланк!$V$40="Броня"),$Z$1,IF(Бланк!$S$39=AA217,HLOOKUP(Бланк!$M$34,Цены[#All],Z217,0),"")))</f>
        <v/>
      </c>
    </row>
    <row r="218" spans="1:28" s="39" customFormat="1" ht="15.75">
      <c r="A218" s="39">
        <f t="shared" si="120"/>
        <v>216</v>
      </c>
      <c r="B218" s="424"/>
      <c r="C218" s="9" t="s">
        <v>1140</v>
      </c>
      <c r="D218" s="843" t="s">
        <v>1075</v>
      </c>
      <c r="E218" s="630">
        <f>E217</f>
        <v>4</v>
      </c>
      <c r="F218" s="630">
        <f t="shared" ref="F218:J219" si="167">F217</f>
        <v>4</v>
      </c>
      <c r="G218" s="630" t="str">
        <f t="shared" si="167"/>
        <v>Ошибка</v>
      </c>
      <c r="H218" s="630">
        <f t="shared" si="167"/>
        <v>4</v>
      </c>
      <c r="I218" s="630">
        <f t="shared" si="167"/>
        <v>4</v>
      </c>
      <c r="J218" s="665">
        <f t="shared" si="167"/>
        <v>4</v>
      </c>
      <c r="K218" s="425"/>
      <c r="L218" s="585"/>
      <c r="M218" s="75">
        <f t="shared" si="88"/>
        <v>216</v>
      </c>
      <c r="N218" s="597" t="str">
        <f>B215</f>
        <v>накладка низ</v>
      </c>
      <c r="O218" s="583" t="str">
        <f t="shared" si="101"/>
        <v/>
      </c>
      <c r="P218" s="583" t="str">
        <f t="shared" si="102"/>
        <v/>
      </c>
      <c r="Q218" s="617" t="str">
        <f t="shared" si="103"/>
        <v/>
      </c>
      <c r="R218" s="426"/>
      <c r="S218" s="99">
        <f>Цена!A218</f>
        <v>216</v>
      </c>
      <c r="T218" s="427" t="str">
        <f>Цены[[#This Row],[Параметр]]</f>
        <v>квад.чёрн</v>
      </c>
      <c r="U218" s="423" t="str">
        <f>IF(AND(Бланк!$M$2="Индивид.",Бланк!$M$11=""),"",IF(AND(Бланк!$S$7=T218,Бланк!$R$7=""),$V$1,IF(AND(Бланк!$S$7=T218,Бланк!$V$8="Броня"),$V$1,IF(Бланк!$S$7=T218,HLOOKUP(Бланк!$M$2,Цены[#All],S218,0),""))))</f>
        <v/>
      </c>
      <c r="V218" s="32">
        <f t="shared" si="163"/>
        <v>216</v>
      </c>
      <c r="W218" s="10" t="str">
        <f t="shared" si="164"/>
        <v>квад.чёрн</v>
      </c>
      <c r="X218" s="423" t="str">
        <f>IF(AND(Бланк!$S$23=W218,Бланк!$R$23=""),$Z$1,IF(AND(Бланк!$S$23=W218,Бланк!$V$24="Броня"),$Z$1,IF(Бланк!$S$23=W218,HLOOKUP(Бланк!$M$18,Цены[#All],V218,0),"")))</f>
        <v/>
      </c>
      <c r="Z218" s="32">
        <f t="shared" si="165"/>
        <v>216</v>
      </c>
      <c r="AA218" s="10" t="str">
        <f t="shared" si="166"/>
        <v>квад.чёрн</v>
      </c>
      <c r="AB218" s="423" t="str">
        <f>IF(AND(Бланк!$S$39=AA218,Бланк!$R$39=""),$Z$1,IF(AND(Бланк!$S$39=AA218,Бланк!$V$40="Броня"),$Z$1,IF(Бланк!$S$39=AA218,HLOOKUP(Бланк!$M$34,Цены[#All],Z218,0),"")))</f>
        <v/>
      </c>
    </row>
    <row r="219" spans="1:28" s="39" customFormat="1" ht="15.75">
      <c r="A219" s="39">
        <f t="shared" si="120"/>
        <v>217</v>
      </c>
      <c r="B219" s="424"/>
      <c r="C219" s="9" t="s">
        <v>1669</v>
      </c>
      <c r="D219" s="843" t="s">
        <v>1075</v>
      </c>
      <c r="E219" s="630">
        <f>E218</f>
        <v>4</v>
      </c>
      <c r="F219" s="630">
        <f t="shared" si="167"/>
        <v>4</v>
      </c>
      <c r="G219" s="630" t="str">
        <f t="shared" si="167"/>
        <v>Ошибка</v>
      </c>
      <c r="H219" s="630">
        <f t="shared" si="167"/>
        <v>4</v>
      </c>
      <c r="I219" s="630">
        <f t="shared" si="167"/>
        <v>4</v>
      </c>
      <c r="J219" s="665">
        <f t="shared" si="167"/>
        <v>4</v>
      </c>
      <c r="K219" s="425"/>
      <c r="L219" s="585"/>
      <c r="M219" s="75">
        <f t="shared" si="88"/>
        <v>217</v>
      </c>
      <c r="N219" s="597" t="str">
        <f>B215</f>
        <v>накладка низ</v>
      </c>
      <c r="O219" s="583" t="str">
        <f t="shared" ref="O219" si="168">IF(U219=$V$1,"Ошибка-1","")</f>
        <v/>
      </c>
      <c r="P219" s="583" t="str">
        <f t="shared" ref="P219" si="169">IF(X219=$V$1,"Ошибка-2","")</f>
        <v/>
      </c>
      <c r="Q219" s="617" t="str">
        <f t="shared" ref="Q219" si="170">IF(AB219=$V$1,"Ошибка-3","")</f>
        <v/>
      </c>
      <c r="R219" s="426"/>
      <c r="S219" s="99">
        <f>Цена!A219</f>
        <v>217</v>
      </c>
      <c r="T219" s="427" t="str">
        <f>Цены[[#This Row],[Параметр]]</f>
        <v>кр.сат.золото</v>
      </c>
      <c r="U219" s="423" t="str">
        <f>IF(AND(Бланк!$M$2="Индивид.",Бланк!$M$11=""),"",IF(AND(Бланк!$S$7=T219,Бланк!$R$7=""),$V$1,IF(AND(Бланк!$S$7=T219,Бланк!$V$8="Броня"),$V$1,IF(Бланк!$S$7=T219,HLOOKUP(Бланк!$M$2,Цены[#All],S219,0),""))))</f>
        <v/>
      </c>
      <c r="V219" s="32">
        <f t="shared" ref="V219" si="171">A219</f>
        <v>217</v>
      </c>
      <c r="W219" s="10" t="str">
        <f t="shared" ref="W219" si="172">T219</f>
        <v>кр.сат.золото</v>
      </c>
      <c r="X219" s="423" t="str">
        <f>IF(AND(Бланк!$S$23=W219,Бланк!$R$23=""),$Z$1,IF(AND(Бланк!$S$23=W219,Бланк!$V$24="Броня"),$Z$1,IF(Бланк!$S$23=W219,HLOOKUP(Бланк!$M$18,Цены[#All],V219,0),"")))</f>
        <v/>
      </c>
      <c r="Z219" s="32">
        <f t="shared" ref="Z219" si="173">S219</f>
        <v>217</v>
      </c>
      <c r="AA219" s="10" t="str">
        <f t="shared" ref="AA219" si="174">T219</f>
        <v>кр.сат.золото</v>
      </c>
      <c r="AB219" s="423" t="str">
        <f>IF(AND(Бланк!$S$39=AA219,Бланк!$R$39=""),$Z$1,IF(AND(Бланк!$S$39=AA219,Бланк!$V$40="Броня"),$Z$1,IF(Бланк!$S$39=AA219,HLOOKUP(Бланк!$M$34,Цены[#All],Z219,0),"")))</f>
        <v/>
      </c>
    </row>
    <row r="220" spans="1:28" s="569" customFormat="1" ht="15.75">
      <c r="A220" s="39">
        <f t="shared" si="120"/>
        <v>218</v>
      </c>
      <c r="B220" s="570"/>
      <c r="C220" s="419" t="s">
        <v>1656</v>
      </c>
      <c r="D220" s="571">
        <v>7.3</v>
      </c>
      <c r="E220" s="572">
        <v>7.3</v>
      </c>
      <c r="F220" s="571">
        <v>7.3</v>
      </c>
      <c r="G220" s="571">
        <v>7.3</v>
      </c>
      <c r="H220" s="380">
        <v>7.3</v>
      </c>
      <c r="I220" s="571">
        <v>7.3</v>
      </c>
      <c r="J220" s="420">
        <v>7.3</v>
      </c>
      <c r="K220" s="572"/>
      <c r="L220" s="590"/>
      <c r="M220" s="75">
        <f t="shared" si="88"/>
        <v>218</v>
      </c>
      <c r="N220" s="821" t="s">
        <v>534</v>
      </c>
      <c r="O220" s="590" t="str">
        <f t="shared" si="101"/>
        <v/>
      </c>
      <c r="P220" s="590" t="str">
        <f t="shared" si="102"/>
        <v/>
      </c>
      <c r="Q220" s="816" t="str">
        <f t="shared" si="103"/>
        <v/>
      </c>
      <c r="S220" s="99">
        <f>Цена!A220</f>
        <v>218</v>
      </c>
      <c r="T220" s="574" t="str">
        <f>Цены[[#This Row],[Параметр]]</f>
        <v>Круг_никель</v>
      </c>
      <c r="U220" s="575" t="str">
        <f>IF(AND(Бланк!$M$2="Индивид.",Бланк!$M$11=""),"",IF(AND(Бланк!$S$7=T220,Бланк!$R$7=""),$V$1,IF(AND(Бланк!$S$7=T220,Бланк!$V$8="Броня"),$V$1,IF(Бланк!$S$7=T220,HLOOKUP(Бланк!$M$2,Цены[#All],S220,0),""))))</f>
        <v/>
      </c>
      <c r="V220" s="573">
        <f t="shared" ref="V220" si="175">A220</f>
        <v>218</v>
      </c>
      <c r="W220" s="574" t="str">
        <f t="shared" ref="W220" si="176">T220</f>
        <v>Круг_никель</v>
      </c>
      <c r="X220" s="575" t="str">
        <f>IF(AND(Бланк!$S$23=W220,Бланк!$R$23=""),$Z$1,IF(AND(Бланк!$S$23=W220,Бланк!$V$24="Броня"),$Z$1,IF(Бланк!$S$23=W220,HLOOKUP(Бланк!$M$18,Цены[#All],V220,0),"")))</f>
        <v/>
      </c>
      <c r="Z220" s="573">
        <f t="shared" ref="Z220" si="177">S220</f>
        <v>218</v>
      </c>
      <c r="AA220" s="574" t="str">
        <f t="shared" ref="AA220" si="178">T220</f>
        <v>Круг_никель</v>
      </c>
      <c r="AB220" s="575" t="str">
        <f>IF(AND(Бланк!$S$39=AA220,Бланк!$R$39=""),$Z$1,IF(AND(Бланк!$S$39=AA220,Бланк!$V$40="Броня"),$Z$1,IF(Бланк!$S$39=AA220,HLOOKUP(Бланк!$M$34,Цены[#All],Z220,0),"")))</f>
        <v/>
      </c>
    </row>
    <row r="221" spans="1:28" s="61" customFormat="1" ht="15.75">
      <c r="A221" s="39">
        <f t="shared" si="120"/>
        <v>219</v>
      </c>
      <c r="B221" s="116" t="s">
        <v>536</v>
      </c>
      <c r="C221" s="9" t="s">
        <v>21</v>
      </c>
      <c r="D221" s="15"/>
      <c r="E221" s="154" t="s">
        <v>21</v>
      </c>
      <c r="F221" s="15">
        <v>-9</v>
      </c>
      <c r="G221" s="15"/>
      <c r="H221" s="15" t="s">
        <v>21</v>
      </c>
      <c r="I221" s="15">
        <v>-9</v>
      </c>
      <c r="J221" s="119">
        <v>-9</v>
      </c>
      <c r="K221" s="154"/>
      <c r="L221" s="587"/>
      <c r="M221" s="75">
        <f t="shared" si="88"/>
        <v>219</v>
      </c>
      <c r="N221" s="615" t="s">
        <v>536</v>
      </c>
      <c r="O221" s="583" t="str">
        <f t="shared" si="101"/>
        <v/>
      </c>
      <c r="P221" s="583" t="str">
        <f t="shared" si="102"/>
        <v/>
      </c>
      <c r="Q221" s="617" t="str">
        <f t="shared" si="103"/>
        <v/>
      </c>
      <c r="S221" s="32">
        <f>Цена!A221</f>
        <v>219</v>
      </c>
      <c r="T221" s="62" t="str">
        <f>Цена!C221</f>
        <v>нет</v>
      </c>
      <c r="U221" s="97">
        <f>IF(Бланк!$W$8=T221,HLOOKUP(Бланк!$M$2,Цены[#All],S221,0),"")</f>
        <v>0</v>
      </c>
      <c r="V221" s="32">
        <f t="shared" ref="V221" si="179">A221</f>
        <v>219</v>
      </c>
      <c r="W221" s="60" t="str">
        <f>T221</f>
        <v>нет</v>
      </c>
      <c r="X221" s="97" t="str">
        <f>IF(Бланк!$W$24=W221,HLOOKUP(Бланк!$M$18,Цены[#All],V221,0),"")</f>
        <v>нет</v>
      </c>
      <c r="Z221" s="32">
        <f t="shared" ref="Z221" si="180">S221</f>
        <v>219</v>
      </c>
      <c r="AA221" s="60" t="str">
        <f>T221</f>
        <v>нет</v>
      </c>
      <c r="AB221" s="97" t="str">
        <f>IF(Бланк!$W$40=AA221,HLOOKUP(Бланк!$M$34,Цены[#All],Z221,0),"")</f>
        <v/>
      </c>
    </row>
    <row r="222" spans="1:28" ht="15.75">
      <c r="A222" s="39">
        <f t="shared" si="120"/>
        <v>220</v>
      </c>
      <c r="B222" s="117"/>
      <c r="C222" s="9" t="s">
        <v>41</v>
      </c>
      <c r="D222" s="843" t="s">
        <v>1075</v>
      </c>
      <c r="E222" s="425">
        <v>10</v>
      </c>
      <c r="F222" s="300"/>
      <c r="G222" s="843" t="s">
        <v>1075</v>
      </c>
      <c r="H222" s="15">
        <f>Цены[[#This Row],[О_1]]</f>
        <v>10</v>
      </c>
      <c r="I222" s="843">
        <f>Цены[[#This Row],[О_2]]</f>
        <v>0</v>
      </c>
      <c r="J222" s="119">
        <f>Цены[[#This Row],[О_2]]</f>
        <v>0</v>
      </c>
      <c r="K222" s="165"/>
      <c r="L222" s="75"/>
      <c r="M222" s="75">
        <f t="shared" si="88"/>
        <v>220</v>
      </c>
      <c r="N222" s="615" t="s">
        <v>536</v>
      </c>
      <c r="O222" s="583" t="str">
        <f t="shared" si="101"/>
        <v/>
      </c>
      <c r="P222" s="583" t="str">
        <f t="shared" si="102"/>
        <v/>
      </c>
      <c r="Q222" s="617" t="str">
        <f t="shared" si="103"/>
        <v/>
      </c>
      <c r="S222" s="32">
        <f>Цена!A222</f>
        <v>220</v>
      </c>
      <c r="T222" s="62" t="str">
        <f>Цена!C222</f>
        <v>Crit</v>
      </c>
      <c r="U222" s="97" t="str">
        <f>IF(AND(Бланк!$M$2="Индивид.",Бланк!$M$11=""),"",IF(AND(OR(Бланк!$W$8=T222,Бланк!$X$8=T222),Бланк!$V$8=""),$V$1,IF(Бланк!$X$8=T222,HLOOKUP(Бланк!$M$2,Цены[#All],S222,0),"")))</f>
        <v/>
      </c>
      <c r="V222" s="32">
        <f t="shared" ref="V222:V298" si="181">A222</f>
        <v>220</v>
      </c>
      <c r="W222" s="10" t="str">
        <f>T222</f>
        <v>Crit</v>
      </c>
      <c r="X222" s="97" t="str">
        <f>IF(AND(OR(Бланк!$W$24=W222,Бланк!$X$24=W222),Бланк!$V$24=""),$Z$1,IF(Бланк!$X$24=W222,HLOOKUP(Бланк!$M$18,Цены[#All],V222,0),""))</f>
        <v/>
      </c>
      <c r="Z222" s="32">
        <f t="shared" si="141"/>
        <v>220</v>
      </c>
      <c r="AA222" s="10" t="str">
        <f>T222</f>
        <v>Crit</v>
      </c>
      <c r="AB222" s="97" t="str">
        <f>IF(AND(OR(Бланк!$W$40=AA222,Бланк!$X$40=AA222),Бланк!$V$40=""),$Z$1,IF(Бланк!$X$40=AA222,HLOOKUP(Бланк!$M$34,Цены[#All],Z222,0),""))</f>
        <v/>
      </c>
    </row>
    <row r="223" spans="1:28" s="39" customFormat="1" ht="15.75">
      <c r="A223" s="39">
        <f t="shared" si="120"/>
        <v>221</v>
      </c>
      <c r="B223" s="117"/>
      <c r="C223" s="9" t="s">
        <v>1131</v>
      </c>
      <c r="D223" s="843" t="s">
        <v>1075</v>
      </c>
      <c r="E223" s="630">
        <v>13</v>
      </c>
      <c r="F223" s="580">
        <v>1</v>
      </c>
      <c r="G223" s="843" t="s">
        <v>1075</v>
      </c>
      <c r="H223" s="15">
        <f>Цены[[#This Row],[О_1]]</f>
        <v>13</v>
      </c>
      <c r="I223" s="15">
        <f>Цены[[#This Row],[О_2]]</f>
        <v>1</v>
      </c>
      <c r="J223" s="119">
        <f>Цены[[#This Row],[О_2]]</f>
        <v>1</v>
      </c>
      <c r="K223" s="165"/>
      <c r="L223" s="583"/>
      <c r="M223" s="75">
        <f t="shared" si="88"/>
        <v>221</v>
      </c>
      <c r="N223" s="615" t="s">
        <v>536</v>
      </c>
      <c r="O223" s="583" t="str">
        <f t="shared" si="101"/>
        <v/>
      </c>
      <c r="P223" s="583" t="str">
        <f t="shared" si="102"/>
        <v/>
      </c>
      <c r="Q223" s="617" t="str">
        <f t="shared" si="103"/>
        <v/>
      </c>
      <c r="S223" s="32">
        <f>Цена!A223</f>
        <v>221</v>
      </c>
      <c r="T223" s="62" t="str">
        <f>Цена!C223</f>
        <v>Квадрат хром</v>
      </c>
      <c r="U223" s="97" t="str">
        <f>IF(AND(Бланк!$M$2="Индивид.",Бланк!$M$11=""),"",IF(AND(OR(Бланк!$W$8=T223,Бланк!$X$8=T223),Бланк!$V$8=""),$V$1,IF(Бланк!$X$8=T223,HLOOKUP(Бланк!$M$2,Цены[#All],S223,0),"")))</f>
        <v/>
      </c>
      <c r="V223" s="32">
        <f t="shared" si="181"/>
        <v>221</v>
      </c>
      <c r="W223" s="10" t="str">
        <f>T223</f>
        <v>Квадрат хром</v>
      </c>
      <c r="X223" s="97" t="str">
        <f>IF(AND(OR(Бланк!$W$24=W223,Бланк!$X$24=W223),Бланк!$V$24=""),$Z$1,IF(Бланк!$X$24=W223,HLOOKUP(Бланк!$M$18,Цены[#All],V223,0),""))</f>
        <v/>
      </c>
      <c r="Z223" s="32">
        <f>S223</f>
        <v>221</v>
      </c>
      <c r="AA223" s="10" t="str">
        <f>T223</f>
        <v>Квадрат хром</v>
      </c>
      <c r="AB223" s="97" t="str">
        <f>IF(AND(OR(Бланк!$W$40=AA223,Бланк!$X$40=AA223),Бланк!$V$40=""),$Z$1,IF(Бланк!$X$40=AA223,HLOOKUP(Бланк!$M$34,Цены[#All],Z223,0),""))</f>
        <v/>
      </c>
    </row>
    <row r="224" spans="1:28" s="39" customFormat="1" ht="15.75">
      <c r="A224" s="39">
        <f t="shared" si="120"/>
        <v>222</v>
      </c>
      <c r="B224" s="117"/>
      <c r="C224" s="9" t="s">
        <v>1134</v>
      </c>
      <c r="D224" s="843" t="s">
        <v>1075</v>
      </c>
      <c r="E224" s="425">
        <v>10</v>
      </c>
      <c r="F224" s="380">
        <v>1</v>
      </c>
      <c r="G224" s="843" t="s">
        <v>1075</v>
      </c>
      <c r="H224" s="15">
        <f>Цены[[#This Row],[О_1]]</f>
        <v>10</v>
      </c>
      <c r="I224" s="15">
        <f>Цены[[#This Row],[О_2]]</f>
        <v>1</v>
      </c>
      <c r="J224" s="119">
        <f>Цены[[#This Row],[О_2]]</f>
        <v>1</v>
      </c>
      <c r="K224" s="165"/>
      <c r="L224" s="583"/>
      <c r="M224" s="75">
        <f t="shared" si="88"/>
        <v>222</v>
      </c>
      <c r="N224" s="615" t="s">
        <v>536</v>
      </c>
      <c r="O224" s="583" t="str">
        <f t="shared" si="101"/>
        <v/>
      </c>
      <c r="P224" s="583" t="str">
        <f t="shared" si="102"/>
        <v/>
      </c>
      <c r="Q224" s="617" t="str">
        <f t="shared" si="103"/>
        <v/>
      </c>
      <c r="S224" s="32">
        <f>Цена!A224</f>
        <v>222</v>
      </c>
      <c r="T224" s="62" t="str">
        <f>Цена!C224</f>
        <v>Vela круг чёрн.</v>
      </c>
      <c r="U224" s="97" t="str">
        <f>IF(AND(Бланк!$M$2="Индивид.",Бланк!$M$11=""),"",IF(AND(OR(Бланк!$W$8=T224,Бланк!$X$8=T224),Бланк!$V$8=""),$V$1,IF(Бланк!$X$8=T224,HLOOKUP(Бланк!$M$2,Цены[#All],S224,0),"")))</f>
        <v/>
      </c>
      <c r="V224" s="32">
        <f t="shared" ref="V224:V226" si="182">A224</f>
        <v>222</v>
      </c>
      <c r="W224" s="10" t="str">
        <f t="shared" ref="W224:W226" si="183">T224</f>
        <v>Vela круг чёрн.</v>
      </c>
      <c r="X224" s="97" t="str">
        <f>IF(AND(OR(Бланк!$W$24=W224,Бланк!$X$24=W224),Бланк!$V$24=""),$Z$1,IF(Бланк!$X$24=W224,HLOOKUP(Бланк!$M$18,Цены[#All],V224,0),""))</f>
        <v/>
      </c>
      <c r="Z224" s="32">
        <f t="shared" ref="Z224:Z226" si="184">S224</f>
        <v>222</v>
      </c>
      <c r="AA224" s="10" t="str">
        <f t="shared" ref="AA224:AA226" si="185">T224</f>
        <v>Vela круг чёрн.</v>
      </c>
      <c r="AB224" s="97" t="str">
        <f>IF(AND(OR(Бланк!$W$40=AA224,Бланк!$X$40=AA224),Бланк!$V$40=""),$Z$1,IF(Бланк!$X$40=AA224,HLOOKUP(Бланк!$M$34,Цены[#All],Z224,0),""))</f>
        <v/>
      </c>
    </row>
    <row r="225" spans="1:28" s="39" customFormat="1" ht="15.75">
      <c r="A225" s="39">
        <f t="shared" si="120"/>
        <v>223</v>
      </c>
      <c r="B225" s="117"/>
      <c r="C225" s="9" t="s">
        <v>1241</v>
      </c>
      <c r="D225" s="787" t="s">
        <v>1075</v>
      </c>
      <c r="E225" s="421">
        <v>8</v>
      </c>
      <c r="F225" s="300"/>
      <c r="G225" s="787" t="s">
        <v>1075</v>
      </c>
      <c r="H225" s="788">
        <f>Цены[[#This Row],[О_1]]</f>
        <v>8</v>
      </c>
      <c r="I225" s="787">
        <f>Цены[[#This Row],[О_2]]</f>
        <v>0</v>
      </c>
      <c r="J225" s="789">
        <f>Цены[[#This Row],[О_2]]</f>
        <v>0</v>
      </c>
      <c r="K225" s="165"/>
      <c r="L225" s="583"/>
      <c r="M225" s="75">
        <f t="shared" ref="M225:M242" si="186">A225</f>
        <v>223</v>
      </c>
      <c r="N225" s="615" t="str">
        <f>B221</f>
        <v>Броня низ</v>
      </c>
      <c r="O225" s="583" t="str">
        <f>IF(U225=$V$1,"Ошибка-1","")</f>
        <v/>
      </c>
      <c r="P225" s="583" t="str">
        <f>IF(X225=$V$1,"Ошибка-2","")</f>
        <v/>
      </c>
      <c r="Q225" s="617" t="str">
        <f>IF(AB225=$V$1,"Ошибка-3","")</f>
        <v/>
      </c>
      <c r="S225" s="32">
        <f>Цена!A225</f>
        <v>223</v>
      </c>
      <c r="T225" s="62" t="str">
        <f>Цена!C225</f>
        <v>V16-8 чёрная</v>
      </c>
      <c r="U225" s="97" t="str">
        <f>IF(AND(Бланк!$M$2="Индивид.",Бланк!$M$11=""),"",IF(AND(OR(Бланк!$W$8=T225,Бланк!$X$8=T225),Бланк!$V$8=""),$V$1,IF(Бланк!$X$8=T225,HLOOKUP(Бланк!$M$2,Цены[#All],S225,0),"")))</f>
        <v/>
      </c>
      <c r="V225" s="32">
        <f t="shared" ref="V225" si="187">A225</f>
        <v>223</v>
      </c>
      <c r="W225" s="10" t="str">
        <f t="shared" ref="W225" si="188">T225</f>
        <v>V16-8 чёрная</v>
      </c>
      <c r="X225" s="97" t="str">
        <f>IF(AND(OR(Бланк!$W$24=W225,Бланк!$X$24=W225),Бланк!$V$24=""),$Z$1,IF(Бланк!$X$24=W225,HLOOKUP(Бланк!$M$18,Цены[#All],V225,0),""))</f>
        <v/>
      </c>
      <c r="Z225" s="32">
        <f t="shared" ref="Z225" si="189">S225</f>
        <v>223</v>
      </c>
      <c r="AA225" s="10" t="str">
        <f t="shared" ref="AA225" si="190">T225</f>
        <v>V16-8 чёрная</v>
      </c>
      <c r="AB225" s="97" t="str">
        <f>IF(AND(OR(Бланк!$W$40=AA225,Бланк!$X$40=AA225),Бланк!$V$40=""),$Z$1,IF(Бланк!$X$40=AA225,HLOOKUP(Бланк!$M$34,Цены[#All],Z225,0),""))</f>
        <v/>
      </c>
    </row>
    <row r="226" spans="1:28" s="39" customFormat="1" ht="15.75">
      <c r="A226" s="39">
        <f t="shared" si="120"/>
        <v>224</v>
      </c>
      <c r="B226" s="117"/>
      <c r="C226" s="9" t="s">
        <v>1135</v>
      </c>
      <c r="D226" s="843" t="s">
        <v>1075</v>
      </c>
      <c r="E226" s="425">
        <f>E223</f>
        <v>13</v>
      </c>
      <c r="F226" s="380">
        <f>F223</f>
        <v>1</v>
      </c>
      <c r="G226" s="843" t="s">
        <v>1075</v>
      </c>
      <c r="H226" s="15">
        <f>Цены[[#This Row],[О_1]]</f>
        <v>13</v>
      </c>
      <c r="I226" s="15">
        <f>Цены[[#This Row],[О_2]]</f>
        <v>1</v>
      </c>
      <c r="J226" s="119">
        <f>Цены[[#This Row],[О_2]]</f>
        <v>1</v>
      </c>
      <c r="K226" s="165"/>
      <c r="L226" s="583"/>
      <c r="M226" s="75">
        <f t="shared" si="186"/>
        <v>224</v>
      </c>
      <c r="N226" s="615" t="s">
        <v>536</v>
      </c>
      <c r="O226" s="583" t="str">
        <f t="shared" si="101"/>
        <v/>
      </c>
      <c r="P226" s="583" t="str">
        <f t="shared" si="102"/>
        <v/>
      </c>
      <c r="Q226" s="617" t="str">
        <f t="shared" si="103"/>
        <v/>
      </c>
      <c r="S226" s="32">
        <f>Цена!A226</f>
        <v>224</v>
      </c>
      <c r="T226" s="62" t="str">
        <f>Цена!C226</f>
        <v>Fuaro квад.чёрн.</v>
      </c>
      <c r="U226" s="97" t="str">
        <f>IF(AND(Бланк!$M$2="Индивид.",Бланк!$M$11=""),"",IF(AND(OR(Бланк!$W$8=T226,Бланк!$X$8=T226),Бланк!$V$8=""),$V$1,IF(Бланк!$X$8=T226,HLOOKUP(Бланк!$M$2,Цены[#All],S226,0),"")))</f>
        <v/>
      </c>
      <c r="V226" s="32">
        <f t="shared" si="182"/>
        <v>224</v>
      </c>
      <c r="W226" s="10" t="str">
        <f t="shared" si="183"/>
        <v>Fuaro квад.чёрн.</v>
      </c>
      <c r="X226" s="97" t="str">
        <f>IF(AND(OR(Бланк!$W$24=W226,Бланк!$X$24=W226),Бланк!$V$24=""),$Z$1,IF(Бланк!$X$24=W226,HLOOKUP(Бланк!$M$18,Цены[#All],V226,0),""))</f>
        <v/>
      </c>
      <c r="Z226" s="32">
        <f t="shared" si="184"/>
        <v>224</v>
      </c>
      <c r="AA226" s="10" t="str">
        <f t="shared" si="185"/>
        <v>Fuaro квад.чёрн.</v>
      </c>
      <c r="AB226" s="97" t="str">
        <f>IF(AND(OR(Бланк!$W$40=AA226,Бланк!$X$40=AA226),Бланк!$V$40=""),$Z$1,IF(Бланк!$X$40=AA226,HLOOKUP(Бланк!$M$34,Цены[#All],Z226,0),""))</f>
        <v/>
      </c>
    </row>
    <row r="227" spans="1:28" s="39" customFormat="1" ht="15.75">
      <c r="A227" s="39">
        <f t="shared" si="120"/>
        <v>225</v>
      </c>
      <c r="B227" s="117"/>
      <c r="C227" s="9" t="s">
        <v>1218</v>
      </c>
      <c r="D227" s="843" t="s">
        <v>1075</v>
      </c>
      <c r="E227" s="425">
        <f>E226</f>
        <v>13</v>
      </c>
      <c r="F227" s="380">
        <f>F224</f>
        <v>1</v>
      </c>
      <c r="G227" s="843" t="s">
        <v>1075</v>
      </c>
      <c r="H227" s="15">
        <f>Цены[[#This Row],[О_1]]</f>
        <v>13</v>
      </c>
      <c r="I227" s="15">
        <f>Цены[[#This Row],[О_2]]</f>
        <v>1</v>
      </c>
      <c r="J227" s="119">
        <f>Цены[[#This Row],[О_2]]</f>
        <v>1</v>
      </c>
      <c r="K227" s="165"/>
      <c r="L227" s="583"/>
      <c r="M227" s="75">
        <f t="shared" si="186"/>
        <v>225</v>
      </c>
      <c r="N227" s="615" t="s">
        <v>536</v>
      </c>
      <c r="O227" s="583" t="str">
        <f t="shared" ref="O227:O229" si="191">IF(U227=$V$1,"Ошибка-1","")</f>
        <v/>
      </c>
      <c r="P227" s="583" t="str">
        <f t="shared" ref="P227:P229" si="192">IF(X227=$V$1,"Ошибка-2","")</f>
        <v/>
      </c>
      <c r="Q227" s="617" t="str">
        <f t="shared" ref="Q227:Q229" si="193">IF(AB227=$V$1,"Ошибка-3","")</f>
        <v/>
      </c>
      <c r="S227" s="32">
        <f>Цена!A227</f>
        <v>225</v>
      </c>
      <c r="T227" s="62" t="str">
        <f>Цена!C227</f>
        <v>Редлайн чёрн.</v>
      </c>
      <c r="U227" s="97" t="str">
        <f>IF(AND(Бланк!$M$2="Индивид.",Бланк!$M$11=""),"",IF(AND(OR(Бланк!$W$8=T227,Бланк!$X$8=T227),Бланк!$V$8=""),$V$1,IF(Бланк!$X$8=T227,HLOOKUP(Бланк!$M$2,Цены[#All],S227,0),"")))</f>
        <v/>
      </c>
      <c r="V227" s="32">
        <f t="shared" ref="V227:V229" si="194">A227</f>
        <v>225</v>
      </c>
      <c r="W227" s="10" t="str">
        <f t="shared" ref="W227:W229" si="195">T227</f>
        <v>Редлайн чёрн.</v>
      </c>
      <c r="X227" s="97" t="str">
        <f>IF(AND(OR(Бланк!$W$24=W227,Бланк!$X$24=W227),Бланк!$V$24=""),$Z$1,IF(Бланк!$X$24=W227,HLOOKUP(Бланк!$M$18,Цены[#All],V227,0),""))</f>
        <v/>
      </c>
      <c r="Z227" s="32">
        <f t="shared" ref="Z227:Z229" si="196">S227</f>
        <v>225</v>
      </c>
      <c r="AA227" s="10" t="str">
        <f t="shared" ref="AA227:AA229" si="197">T227</f>
        <v>Редлайн чёрн.</v>
      </c>
      <c r="AB227" s="97" t="str">
        <f>IF(AND(OR(Бланк!$W$40=AA227,Бланк!$X$40=AA227),Бланк!$V$40=""),$Z$1,IF(Бланк!$X$40=AA227,HLOOKUP(Бланк!$M$34,Цены[#All],Z227,0),""))</f>
        <v/>
      </c>
    </row>
    <row r="228" spans="1:28" s="39" customFormat="1" ht="15.75">
      <c r="A228" s="39">
        <f t="shared" si="120"/>
        <v>226</v>
      </c>
      <c r="B228" s="117"/>
      <c r="C228" s="9" t="s">
        <v>1220</v>
      </c>
      <c r="D228" s="843" t="s">
        <v>1075</v>
      </c>
      <c r="E228" s="425">
        <f>E227</f>
        <v>13</v>
      </c>
      <c r="F228" s="380">
        <f t="shared" ref="F228:F229" si="198">F226</f>
        <v>1</v>
      </c>
      <c r="G228" s="843" t="s">
        <v>1075</v>
      </c>
      <c r="H228" s="15">
        <f>Цены[[#This Row],[О_1]]</f>
        <v>13</v>
      </c>
      <c r="I228" s="15">
        <f>Цены[[#This Row],[О_2]]</f>
        <v>1</v>
      </c>
      <c r="J228" s="119">
        <f>Цены[[#This Row],[О_2]]</f>
        <v>1</v>
      </c>
      <c r="K228" s="165"/>
      <c r="L228" s="583"/>
      <c r="M228" s="75">
        <f t="shared" si="186"/>
        <v>226</v>
      </c>
      <c r="N228" s="615" t="s">
        <v>536</v>
      </c>
      <c r="O228" s="583" t="str">
        <f t="shared" si="191"/>
        <v/>
      </c>
      <c r="P228" s="583" t="str">
        <f t="shared" si="192"/>
        <v/>
      </c>
      <c r="Q228" s="617" t="str">
        <f t="shared" si="193"/>
        <v/>
      </c>
      <c r="S228" s="32">
        <f>Цена!A228</f>
        <v>226</v>
      </c>
      <c r="T228" s="62" t="str">
        <f>Цена!C228</f>
        <v>ТOR чёрн.</v>
      </c>
      <c r="U228" s="97" t="str">
        <f>IF(AND(Бланк!$M$2="Индивид.",Бланк!$M$11=""),"",IF(AND(OR(Бланк!$W$8=T228,Бланк!$X$8=T228),Бланк!$V$8=""),$V$1,IF(Бланк!$X$8=T228,HLOOKUP(Бланк!$M$2,Цены[#All],S228,0),"")))</f>
        <v/>
      </c>
      <c r="V228" s="32">
        <f t="shared" si="194"/>
        <v>226</v>
      </c>
      <c r="W228" s="10" t="str">
        <f t="shared" si="195"/>
        <v>ТOR чёрн.</v>
      </c>
      <c r="X228" s="97" t="str">
        <f>IF(AND(OR(Бланк!$W$24=W228,Бланк!$X$24=W228),Бланк!$V$24=""),$Z$1,IF(Бланк!$X$24=W228,HLOOKUP(Бланк!$M$18,Цены[#All],V228,0),""))</f>
        <v/>
      </c>
      <c r="Z228" s="32">
        <f t="shared" si="196"/>
        <v>226</v>
      </c>
      <c r="AA228" s="10" t="str">
        <f t="shared" si="197"/>
        <v>ТOR чёрн.</v>
      </c>
      <c r="AB228" s="97" t="str">
        <f>IF(AND(OR(Бланк!$W$40=AA228,Бланк!$X$40=AA228),Бланк!$V$40=""),$Z$1,IF(Бланк!$X$40=AA228,HLOOKUP(Бланк!$M$34,Цены[#All],Z228,0),""))</f>
        <v/>
      </c>
    </row>
    <row r="229" spans="1:28" s="39" customFormat="1" ht="15.75">
      <c r="A229" s="39">
        <f t="shared" si="120"/>
        <v>227</v>
      </c>
      <c r="B229" s="117"/>
      <c r="C229" s="9" t="s">
        <v>1219</v>
      </c>
      <c r="D229" s="843" t="s">
        <v>1075</v>
      </c>
      <c r="E229" s="425">
        <f>E228</f>
        <v>13</v>
      </c>
      <c r="F229" s="380">
        <f t="shared" si="198"/>
        <v>1</v>
      </c>
      <c r="G229" s="843" t="s">
        <v>1075</v>
      </c>
      <c r="H229" s="15">
        <f>Цены[[#This Row],[О_1]]</f>
        <v>13</v>
      </c>
      <c r="I229" s="15">
        <f>Цены[[#This Row],[О_2]]</f>
        <v>1</v>
      </c>
      <c r="J229" s="119">
        <f>Цены[[#This Row],[О_2]]</f>
        <v>1</v>
      </c>
      <c r="K229" s="165"/>
      <c r="L229" s="583"/>
      <c r="M229" s="75">
        <f t="shared" si="186"/>
        <v>227</v>
      </c>
      <c r="N229" s="615" t="s">
        <v>536</v>
      </c>
      <c r="O229" s="583" t="str">
        <f t="shared" si="191"/>
        <v/>
      </c>
      <c r="P229" s="583" t="str">
        <f t="shared" si="192"/>
        <v/>
      </c>
      <c r="Q229" s="617" t="str">
        <f t="shared" si="193"/>
        <v/>
      </c>
      <c r="S229" s="32">
        <f>Цена!A229</f>
        <v>227</v>
      </c>
      <c r="T229" s="62" t="str">
        <f>Цена!C229</f>
        <v>Флоу чёрн.</v>
      </c>
      <c r="U229" s="97" t="str">
        <f>IF(AND(Бланк!$M$2="Индивид.",Бланк!$M$11=""),"",IF(AND(OR(Бланк!$W$8=T229,Бланк!$X$8=T229),Бланк!$V$8=""),$V$1,IF(Бланк!$X$8=T229,HLOOKUP(Бланк!$M$2,Цены[#All],S229,0),"")))</f>
        <v/>
      </c>
      <c r="V229" s="32">
        <f t="shared" si="194"/>
        <v>227</v>
      </c>
      <c r="W229" s="10" t="str">
        <f t="shared" si="195"/>
        <v>Флоу чёрн.</v>
      </c>
      <c r="X229" s="97" t="str">
        <f>IF(AND(OR(Бланк!$W$24=W229,Бланк!$X$24=W229),Бланк!$V$24=""),$Z$1,IF(Бланк!$X$24=W229,HLOOKUP(Бланк!$M$18,Цены[#All],V229,0),""))</f>
        <v/>
      </c>
      <c r="Z229" s="32">
        <f t="shared" si="196"/>
        <v>227</v>
      </c>
      <c r="AA229" s="10" t="str">
        <f t="shared" si="197"/>
        <v>Флоу чёрн.</v>
      </c>
      <c r="AB229" s="97" t="str">
        <f>IF(AND(OR(Бланк!$W$40=AA229,Бланк!$X$40=AA229),Бланк!$V$40=""),$Z$1,IF(Бланк!$X$40=AA229,HLOOKUP(Бланк!$M$34,Цены[#All],Z229,0),""))</f>
        <v/>
      </c>
    </row>
    <row r="230" spans="1:28" s="569" customFormat="1" ht="15.75">
      <c r="A230" s="39">
        <f t="shared" si="120"/>
        <v>228</v>
      </c>
      <c r="B230" s="570"/>
      <c r="C230" s="419" t="s">
        <v>1653</v>
      </c>
      <c r="D230" s="843" t="s">
        <v>1075</v>
      </c>
      <c r="E230" s="572">
        <v>19.3</v>
      </c>
      <c r="F230" s="571">
        <f>Цены[[#This Row],[О_1]]-E222</f>
        <v>9.3000000000000007</v>
      </c>
      <c r="G230" s="843" t="s">
        <v>1075</v>
      </c>
      <c r="H230" s="380">
        <f>E230</f>
        <v>19.3</v>
      </c>
      <c r="I230" s="571">
        <f>F230</f>
        <v>9.3000000000000007</v>
      </c>
      <c r="J230" s="420">
        <f>I230</f>
        <v>9.3000000000000007</v>
      </c>
      <c r="K230" s="572"/>
      <c r="L230" s="590"/>
      <c r="M230" s="75">
        <f t="shared" ref="M230" si="199">A230</f>
        <v>228</v>
      </c>
      <c r="N230" s="615" t="s">
        <v>536</v>
      </c>
      <c r="O230" s="590" t="str">
        <f>IF(U230=$V$1,"Ошибка-1","")</f>
        <v/>
      </c>
      <c r="P230" s="590" t="str">
        <f>IF(X230=$V$1,"Ошибка-2","")</f>
        <v/>
      </c>
      <c r="Q230" s="816" t="str">
        <f>IF(AB230=$V$1,"Ошибка-3","")</f>
        <v/>
      </c>
      <c r="S230" s="573">
        <f>Цена!A230</f>
        <v>228</v>
      </c>
      <c r="T230" s="574" t="str">
        <f>Цена!C230</f>
        <v>Armadillo никель</v>
      </c>
      <c r="U230" s="575" t="str">
        <f>IF(AND(Бланк!$M$2="Индивид.",Бланк!$M$11=""),"",IF(AND(OR(Бланк!$W$8=T230,Бланк!$X$8=T230),Бланк!$V$8=""),$V$1,IF(Бланк!$X$8=T230,HLOOKUP(Бланк!$M$2,Цены[#All],S230,0),"")))</f>
        <v/>
      </c>
      <c r="V230" s="573">
        <f t="shared" ref="V230" si="200">A230</f>
        <v>228</v>
      </c>
      <c r="W230" s="574" t="str">
        <f t="shared" ref="W230" si="201">T230</f>
        <v>Armadillo никель</v>
      </c>
      <c r="X230" s="575" t="str">
        <f>IF(AND(OR(Бланк!$W$24=W230,Бланк!$X$24=W230),Бланк!$V$24=""),$Z$1,IF(Бланк!$X$24=W230,HLOOKUP(Бланк!$M$18,Цены[#All],V230,0),""))</f>
        <v/>
      </c>
      <c r="Z230" s="573">
        <f t="shared" ref="Z230" si="202">S230</f>
        <v>228</v>
      </c>
      <c r="AA230" s="574" t="str">
        <f t="shared" ref="AA230" si="203">T230</f>
        <v>Armadillo никель</v>
      </c>
      <c r="AB230" s="575" t="str">
        <f>IF(AND(OR(Бланк!$W$40=AA230,Бланк!$X$40=AA230),Бланк!$V$40=""),$Z$1,IF(Бланк!$X$40=AA230,HLOOKUP(Бланк!$M$34,Цены[#All],Z230,0),""))</f>
        <v/>
      </c>
    </row>
    <row r="231" spans="1:28" s="39" customFormat="1" ht="15.75">
      <c r="A231" s="39">
        <f t="shared" si="120"/>
        <v>229</v>
      </c>
      <c r="B231" s="117"/>
      <c r="C231" s="9" t="s">
        <v>431</v>
      </c>
      <c r="D231" s="843" t="s">
        <v>1075</v>
      </c>
      <c r="E231" s="425"/>
      <c r="F231" s="380">
        <v>2</v>
      </c>
      <c r="G231" s="843" t="s">
        <v>1075</v>
      </c>
      <c r="H231" s="15">
        <f>Цены[[#This Row],[О_2]]</f>
        <v>2</v>
      </c>
      <c r="I231" s="15">
        <f>Цены[[#This Row],[М_1]]</f>
        <v>2</v>
      </c>
      <c r="J231" s="119">
        <f>Цены[[#This Row],[М_2]]</f>
        <v>2</v>
      </c>
      <c r="K231" s="165"/>
      <c r="L231" s="583"/>
      <c r="M231" s="75">
        <f t="shared" si="186"/>
        <v>229</v>
      </c>
      <c r="N231" s="615" t="s">
        <v>536</v>
      </c>
      <c r="O231" s="583" t="str">
        <f t="shared" ref="O231" si="204">IF(U231=$V$1,"Ошибка-1","")</f>
        <v/>
      </c>
      <c r="P231" s="583" t="str">
        <f t="shared" ref="P231" si="205">IF(X231=$V$1,"Ошибка-2","")</f>
        <v/>
      </c>
      <c r="Q231" s="617" t="str">
        <f t="shared" ref="Q231" si="206">IF(AB231=$V$1,"Ошибка-3","")</f>
        <v/>
      </c>
      <c r="S231" s="32">
        <f>Цена!A231</f>
        <v>229</v>
      </c>
      <c r="T231" s="62" t="str">
        <f>Цена!C231</f>
        <v>Заказчика</v>
      </c>
      <c r="U231" s="97" t="str">
        <f>IF(AND(Бланк!$M$2="Индивид.",Бланк!$M$11=""),"",IF(AND(OR(Бланк!$W$8=T231,Бланк!$X$8=T231),Бланк!$V$8=""),$V$1,IF(Бланк!$X$8=T231,HLOOKUP(Бланк!$M$2,Цены[#All],S231,0),"")))</f>
        <v/>
      </c>
      <c r="V231" s="32">
        <f t="shared" ref="V231" si="207">A231</f>
        <v>229</v>
      </c>
      <c r="W231" s="10" t="str">
        <f t="shared" ref="W231" si="208">T231</f>
        <v>Заказчика</v>
      </c>
      <c r="X231" s="97" t="str">
        <f>IF(AND(OR(Бланк!$W$24=W231,Бланк!$X$24=W231),Бланк!$V$24=""),$Z$1,IF(Бланк!$X$24=W231,HLOOKUP(Бланк!$M$18,Цены[#All],V231,0),""))</f>
        <v/>
      </c>
      <c r="Z231" s="32">
        <f t="shared" ref="Z231" si="209">S231</f>
        <v>229</v>
      </c>
      <c r="AA231" s="10" t="str">
        <f t="shared" ref="AA231" si="210">T231</f>
        <v>Заказчика</v>
      </c>
      <c r="AB231" s="97" t="str">
        <f>IF(AND(OR(Бланк!$W$40=AA231,Бланк!$X$40=AA231),Бланк!$V$40=""),$Z$1,IF(Бланк!$X$40=AA231,HLOOKUP(Бланк!$M$34,Цены[#All],Z231,0),""))</f>
        <v/>
      </c>
    </row>
    <row r="232" spans="1:28" ht="15.75">
      <c r="A232" s="39">
        <f t="shared" si="120"/>
        <v>230</v>
      </c>
      <c r="B232" s="117" t="s">
        <v>319</v>
      </c>
      <c r="C232" s="9" t="s">
        <v>318</v>
      </c>
      <c r="D232" s="843">
        <v>6</v>
      </c>
      <c r="E232" s="165">
        <v>6</v>
      </c>
      <c r="F232" s="843">
        <v>6</v>
      </c>
      <c r="G232" s="843">
        <v>6</v>
      </c>
      <c r="H232" s="15">
        <v>6</v>
      </c>
      <c r="I232" s="843">
        <v>6</v>
      </c>
      <c r="J232" s="119">
        <v>6</v>
      </c>
      <c r="K232" s="165"/>
      <c r="L232" s="75"/>
      <c r="M232" s="75">
        <f t="shared" si="186"/>
        <v>230</v>
      </c>
      <c r="N232" s="594" t="str">
        <f>Цены[[#This Row],[Столбец1]]</f>
        <v>Цилиндр +ПР</v>
      </c>
      <c r="O232" s="583" t="str">
        <f t="shared" si="101"/>
        <v/>
      </c>
      <c r="P232" s="583" t="str">
        <f t="shared" si="102"/>
        <v/>
      </c>
      <c r="Q232" s="617" t="str">
        <f t="shared" si="103"/>
        <v/>
      </c>
      <c r="S232" s="32">
        <f>Цена!A232</f>
        <v>230</v>
      </c>
      <c r="T232" s="62" t="str">
        <f>Цена!C232</f>
        <v>Аверс</v>
      </c>
      <c r="U232" s="97" t="str">
        <f>IF(Бланк!$V$7=T232,HLOOKUP(Бланк!$M$2,Цены[#All],S232,0),"")</f>
        <v/>
      </c>
      <c r="V232" s="32">
        <f t="shared" si="181"/>
        <v>230</v>
      </c>
      <c r="W232" s="10" t="str">
        <f t="shared" ref="W232:W297" si="211">T232</f>
        <v>Аверс</v>
      </c>
      <c r="X232" s="97" t="str">
        <f>IF(Бланк!$V$23=W232,HLOOKUP(Бланк!$M$18,Цены[#All],V232,0),"")</f>
        <v/>
      </c>
      <c r="Z232" s="32">
        <f t="shared" si="141"/>
        <v>230</v>
      </c>
      <c r="AA232" s="10" t="str">
        <f t="shared" ref="AA232:AA297" si="212">T232</f>
        <v>Аверс</v>
      </c>
      <c r="AB232" s="97" t="str">
        <f>IF(Бланк!$V$39=AA232,HLOOKUP(Бланк!$M$34,Цены[#All],Z232,0),"")</f>
        <v/>
      </c>
    </row>
    <row r="233" spans="1:28" s="39" customFormat="1" ht="15.75">
      <c r="A233" s="39">
        <f t="shared" si="120"/>
        <v>231</v>
      </c>
      <c r="B233" s="117"/>
      <c r="C233" s="9" t="s">
        <v>28</v>
      </c>
      <c r="D233" s="843">
        <v>6</v>
      </c>
      <c r="E233" s="165">
        <v>6</v>
      </c>
      <c r="F233" s="843">
        <v>6</v>
      </c>
      <c r="G233" s="843">
        <v>6</v>
      </c>
      <c r="H233" s="15">
        <v>6</v>
      </c>
      <c r="I233" s="843">
        <v>6</v>
      </c>
      <c r="J233" s="119">
        <v>6</v>
      </c>
      <c r="K233" s="165"/>
      <c r="L233" s="583"/>
      <c r="M233" s="75">
        <f t="shared" si="186"/>
        <v>231</v>
      </c>
      <c r="N233" s="594" t="str">
        <f>B232</f>
        <v>Цилиндр +ПР</v>
      </c>
      <c r="O233" s="583" t="str">
        <f t="shared" si="101"/>
        <v/>
      </c>
      <c r="P233" s="583" t="str">
        <f t="shared" si="102"/>
        <v/>
      </c>
      <c r="Q233" s="617" t="str">
        <f t="shared" si="103"/>
        <v/>
      </c>
      <c r="S233" s="32">
        <f>Цена!A233</f>
        <v>231</v>
      </c>
      <c r="T233" s="62" t="str">
        <f>Цена!C233</f>
        <v>Апекс</v>
      </c>
      <c r="U233" s="97" t="str">
        <f>IF(Бланк!$V$7=T233,HLOOKUP(Бланк!$M$2,Цены[#All],S233,0),"")</f>
        <v/>
      </c>
      <c r="V233" s="32">
        <f t="shared" si="181"/>
        <v>231</v>
      </c>
      <c r="W233" s="10" t="str">
        <f>T233</f>
        <v>Апекс</v>
      </c>
      <c r="X233" s="97" t="str">
        <f>IF(Бланк!$V$23=W233,HLOOKUP(Бланк!$M$18,Цены[#All],V233,0),"")</f>
        <v/>
      </c>
      <c r="Z233" s="32">
        <f>S233</f>
        <v>231</v>
      </c>
      <c r="AA233" s="10" t="str">
        <f>T233</f>
        <v>Апекс</v>
      </c>
      <c r="AB233" s="97" t="str">
        <f>IF(Бланк!$V$39=AA233,HLOOKUP(Бланк!$M$34,Цены[#All],Z233,0),"")</f>
        <v/>
      </c>
    </row>
    <row r="234" spans="1:28" s="39" customFormat="1" ht="15.75">
      <c r="A234" s="39">
        <f t="shared" si="120"/>
        <v>232</v>
      </c>
      <c r="B234" s="117"/>
      <c r="C234" s="419" t="s">
        <v>980</v>
      </c>
      <c r="D234" s="300">
        <v>5</v>
      </c>
      <c r="E234" s="421">
        <v>5</v>
      </c>
      <c r="F234" s="300">
        <v>3</v>
      </c>
      <c r="G234" s="300">
        <f>Цены[[#This Row],[О_0]]</f>
        <v>5</v>
      </c>
      <c r="H234" s="380">
        <f>Цены[[#This Row],[О_1]]</f>
        <v>5</v>
      </c>
      <c r="I234" s="300">
        <f>Цены[[#This Row],[О_2]]</f>
        <v>3</v>
      </c>
      <c r="J234" s="420">
        <f>Цены[[#This Row],[О_2]]</f>
        <v>3</v>
      </c>
      <c r="K234" s="165"/>
      <c r="L234" s="583"/>
      <c r="M234" s="75">
        <f t="shared" si="186"/>
        <v>232</v>
      </c>
      <c r="N234" s="594" t="str">
        <f>B232</f>
        <v>Цилиндр +ПР</v>
      </c>
      <c r="O234" s="583" t="str">
        <f t="shared" si="101"/>
        <v/>
      </c>
      <c r="P234" s="583" t="str">
        <f t="shared" si="102"/>
        <v/>
      </c>
      <c r="Q234" s="617" t="str">
        <f t="shared" si="103"/>
        <v/>
      </c>
      <c r="S234" s="32">
        <f>Цена!A234</f>
        <v>232</v>
      </c>
      <c r="T234" s="62" t="str">
        <f>Цена!C234</f>
        <v>Чёрный</v>
      </c>
      <c r="U234" s="97" t="str">
        <f>IF(Бланк!$U$7=T234,HLOOKUP(Бланк!$M$2,Цены[#All],S234,0),"")</f>
        <v/>
      </c>
      <c r="V234" s="32">
        <f t="shared" ref="V234" si="213">A234</f>
        <v>232</v>
      </c>
      <c r="W234" s="10" t="str">
        <f>T234</f>
        <v>Чёрный</v>
      </c>
      <c r="X234" s="97" t="str">
        <f>IF(Бланк!$U$23=W234,HLOOKUP(Бланк!$M$18,Цены[#All],V234,0),"")</f>
        <v/>
      </c>
      <c r="Z234" s="32">
        <f>S234</f>
        <v>232</v>
      </c>
      <c r="AA234" s="10" t="str">
        <f>T234</f>
        <v>Чёрный</v>
      </c>
      <c r="AB234" s="97" t="str">
        <f>IF(Бланк!$U$39=AA234,HLOOKUP(Бланк!$M$34,Цены[#All],Z234,0),"")</f>
        <v/>
      </c>
    </row>
    <row r="235" spans="1:28" ht="15.75">
      <c r="A235" s="39">
        <f t="shared" si="120"/>
        <v>233</v>
      </c>
      <c r="B235" s="117"/>
      <c r="C235" s="9" t="s">
        <v>46</v>
      </c>
      <c r="D235" s="760">
        <v>10</v>
      </c>
      <c r="E235" s="165">
        <f>Цены[[#This Row],[О_0]]</f>
        <v>10</v>
      </c>
      <c r="F235" s="843">
        <f>Цены[[#This Row],[О_1]]</f>
        <v>10</v>
      </c>
      <c r="G235" s="843">
        <f>Цены[[#This Row],[О_2]]</f>
        <v>10</v>
      </c>
      <c r="H235" s="15">
        <f>Цены[[#This Row],[М_0]]</f>
        <v>10</v>
      </c>
      <c r="I235" s="843">
        <f>Цены[[#This Row],[М_1]]</f>
        <v>10</v>
      </c>
      <c r="J235" s="119">
        <f>Цены[[#This Row],[М_2]]</f>
        <v>10</v>
      </c>
      <c r="K235" s="165"/>
      <c r="L235" s="75"/>
      <c r="M235" s="75">
        <f t="shared" si="186"/>
        <v>233</v>
      </c>
      <c r="N235" s="615" t="str">
        <f>B232</f>
        <v>Цилиндр +ПР</v>
      </c>
      <c r="O235" s="583" t="str">
        <f t="shared" si="101"/>
        <v/>
      </c>
      <c r="P235" s="583" t="str">
        <f t="shared" si="102"/>
        <v/>
      </c>
      <c r="Q235" s="617" t="str">
        <f t="shared" si="103"/>
        <v/>
      </c>
      <c r="S235" s="32">
        <f>Цена!A235</f>
        <v>233</v>
      </c>
      <c r="T235" s="62" t="str">
        <f>Цена!C235</f>
        <v>Kale</v>
      </c>
      <c r="U235" s="97" t="str">
        <f>IF(Бланк!$V$7=T235,HLOOKUP(Бланк!$M$2,Цены[#All],S235,0),"")</f>
        <v/>
      </c>
      <c r="V235" s="32">
        <f t="shared" si="181"/>
        <v>233</v>
      </c>
      <c r="W235" s="10" t="str">
        <f t="shared" si="211"/>
        <v>Kale</v>
      </c>
      <c r="X235" s="97" t="str">
        <f>IF(Бланк!$V$23=W235,HLOOKUP(Бланк!$M$18,Цены[#All],V235,0),"")</f>
        <v/>
      </c>
      <c r="Z235" s="32">
        <f t="shared" si="141"/>
        <v>233</v>
      </c>
      <c r="AA235" s="10" t="str">
        <f t="shared" si="212"/>
        <v>Kale</v>
      </c>
      <c r="AB235" s="97" t="str">
        <f>IF(Бланк!$V$39=AA235,HLOOKUP(Бланк!$M$34,Цены[#All],Z235,0),"")</f>
        <v/>
      </c>
    </row>
    <row r="236" spans="1:28" s="39" customFormat="1" ht="15.75">
      <c r="A236" s="39">
        <f t="shared" si="120"/>
        <v>234</v>
      </c>
      <c r="B236" s="117"/>
      <c r="C236" s="9" t="s">
        <v>1661</v>
      </c>
      <c r="D236" s="760">
        <v>24</v>
      </c>
      <c r="E236" s="832">
        <f>D236</f>
        <v>24</v>
      </c>
      <c r="F236" s="835">
        <f t="shared" ref="F236:J237" si="214">E236</f>
        <v>24</v>
      </c>
      <c r="G236" s="835">
        <f t="shared" si="214"/>
        <v>24</v>
      </c>
      <c r="H236" s="836">
        <f t="shared" si="214"/>
        <v>24</v>
      </c>
      <c r="I236" s="835">
        <f t="shared" si="214"/>
        <v>24</v>
      </c>
      <c r="J236" s="837">
        <f t="shared" si="214"/>
        <v>24</v>
      </c>
      <c r="K236" s="165"/>
      <c r="L236" s="75"/>
      <c r="M236" s="75">
        <f t="shared" si="186"/>
        <v>234</v>
      </c>
      <c r="N236" s="615" t="str">
        <f>N235</f>
        <v>Цилиндр +ПР</v>
      </c>
      <c r="O236" s="583" t="str">
        <f t="shared" ref="O236:O237" si="215">IF(U236=$V$1,"Ошибка-1","")</f>
        <v/>
      </c>
      <c r="P236" s="583" t="str">
        <f t="shared" ref="P236:P237" si="216">IF(X236=$V$1,"Ошибка-2","")</f>
        <v/>
      </c>
      <c r="Q236" s="617" t="str">
        <f t="shared" ref="Q236:Q237" si="217">IF(AB236=$V$1,"Ошибка-3","")</f>
        <v/>
      </c>
      <c r="S236" s="32">
        <f>Цена!A236</f>
        <v>234</v>
      </c>
      <c r="T236" s="62" t="str">
        <f>Цена!C236</f>
        <v>Mottura</v>
      </c>
      <c r="U236" s="97" t="str">
        <f>IF(Бланк!$V$7=T236,HLOOKUP(Бланк!$M$2,Цены[#All],S236,0),"")</f>
        <v/>
      </c>
      <c r="V236" s="32">
        <f t="shared" ref="V236" si="218">A236</f>
        <v>234</v>
      </c>
      <c r="W236" s="10" t="str">
        <f t="shared" ref="W236" si="219">T236</f>
        <v>Mottura</v>
      </c>
      <c r="X236" s="97" t="str">
        <f>IF(Бланк!$V$23=W236,HLOOKUP(Бланк!$M$18,Цены[#All],V236,0),"")</f>
        <v/>
      </c>
      <c r="Z236" s="32">
        <f t="shared" ref="Z236" si="220">S236</f>
        <v>234</v>
      </c>
      <c r="AA236" s="10" t="str">
        <f t="shared" ref="AA236" si="221">T236</f>
        <v>Mottura</v>
      </c>
      <c r="AB236" s="97" t="str">
        <f>IF(Бланк!$V$39=AA236,HLOOKUP(Бланк!$M$34,Цены[#All],Z236,0),"")</f>
        <v/>
      </c>
    </row>
    <row r="237" spans="1:28" s="359" customFormat="1" ht="15.75">
      <c r="A237" s="39">
        <f t="shared" si="120"/>
        <v>235</v>
      </c>
      <c r="B237" s="831"/>
      <c r="C237" s="9" t="s">
        <v>1663</v>
      </c>
      <c r="D237" s="834">
        <v>32.5</v>
      </c>
      <c r="E237" s="832">
        <f>D237</f>
        <v>32.5</v>
      </c>
      <c r="F237" s="835">
        <f t="shared" si="214"/>
        <v>32.5</v>
      </c>
      <c r="G237" s="835">
        <f t="shared" si="214"/>
        <v>32.5</v>
      </c>
      <c r="H237" s="836">
        <f t="shared" si="214"/>
        <v>32.5</v>
      </c>
      <c r="I237" s="835">
        <f t="shared" si="214"/>
        <v>32.5</v>
      </c>
      <c r="J237" s="837">
        <f t="shared" si="214"/>
        <v>32.5</v>
      </c>
      <c r="K237" s="832"/>
      <c r="L237" s="833"/>
      <c r="M237" s="75">
        <f t="shared" si="186"/>
        <v>235</v>
      </c>
      <c r="N237" s="615" t="str">
        <f>N236</f>
        <v>Цилиндр +ПР</v>
      </c>
      <c r="O237" s="583" t="str">
        <f t="shared" si="215"/>
        <v/>
      </c>
      <c r="P237" s="583" t="str">
        <f t="shared" si="216"/>
        <v/>
      </c>
      <c r="Q237" s="617" t="str">
        <f t="shared" si="217"/>
        <v/>
      </c>
      <c r="S237" s="32">
        <f>Цена!A237</f>
        <v>235</v>
      </c>
      <c r="T237" s="62" t="str">
        <f>Цена!C237</f>
        <v>Mottura шток</v>
      </c>
      <c r="U237" s="97" t="str">
        <f>IF(Бланк!$V$7=T237,HLOOKUP(Бланк!$M$2,Цены[#All],S237,0),"")</f>
        <v/>
      </c>
      <c r="V237" s="32">
        <f t="shared" ref="V237" si="222">A237</f>
        <v>235</v>
      </c>
      <c r="W237" s="10" t="str">
        <f t="shared" ref="W237" si="223">T237</f>
        <v>Mottura шток</v>
      </c>
      <c r="X237" s="97" t="str">
        <f>IF(Бланк!$V$23=W237,HLOOKUP(Бланк!$M$18,Цены[#All],V237,0),"")</f>
        <v/>
      </c>
      <c r="Y237" s="39"/>
      <c r="Z237" s="32">
        <f t="shared" ref="Z237" si="224">S237</f>
        <v>235</v>
      </c>
      <c r="AA237" s="10" t="str">
        <f t="shared" ref="AA237" si="225">T237</f>
        <v>Mottura шток</v>
      </c>
      <c r="AB237" s="97" t="str">
        <f>IF(Бланк!$V$39=AA237,HLOOKUP(Бланк!$M$34,Цены[#All],Z237,0),"")</f>
        <v/>
      </c>
    </row>
    <row r="238" spans="1:28" s="39" customFormat="1" ht="15.75">
      <c r="A238" s="39">
        <f t="shared" si="120"/>
        <v>236</v>
      </c>
      <c r="B238" s="117"/>
      <c r="C238" s="419" t="s">
        <v>1599</v>
      </c>
      <c r="D238" s="843" t="s">
        <v>1075</v>
      </c>
      <c r="E238" s="165" t="s">
        <v>1075</v>
      </c>
      <c r="F238" s="843" t="s">
        <v>1075</v>
      </c>
      <c r="G238" s="843" t="s">
        <v>1075</v>
      </c>
      <c r="H238" s="15" t="s">
        <v>1075</v>
      </c>
      <c r="I238" s="300">
        <v>7</v>
      </c>
      <c r="J238" s="119">
        <f>Цены[[#This Row],[М_2]]</f>
        <v>7</v>
      </c>
      <c r="K238" s="165"/>
      <c r="L238" s="75"/>
      <c r="M238" s="75">
        <f t="shared" si="186"/>
        <v>236</v>
      </c>
      <c r="N238" s="615" t="str">
        <f>B232</f>
        <v>Цилиндр +ПР</v>
      </c>
      <c r="O238" s="583" t="str">
        <f>IF(U238=$V$1,"Ошибка-1","")</f>
        <v/>
      </c>
      <c r="P238" s="583" t="str">
        <f>IF(X238=$V$1,"Ошибка-2","")</f>
        <v/>
      </c>
      <c r="Q238" s="617" t="str">
        <f>IF(AB238=$V$1,"Ошибка-3","")</f>
        <v/>
      </c>
      <c r="S238" s="32">
        <f>Цена!A238</f>
        <v>236</v>
      </c>
      <c r="T238" s="62" t="str">
        <f>Цена!C238</f>
        <v>Термо</v>
      </c>
      <c r="U238" s="97" t="str">
        <f>IF(Бланк!$U$7=T238,HLOOKUP(Бланк!$M$2,Цены[#All],S238,0),"")</f>
        <v/>
      </c>
      <c r="V238" s="32">
        <f t="shared" si="181"/>
        <v>236</v>
      </c>
      <c r="W238" s="10" t="str">
        <f t="shared" si="211"/>
        <v>Термо</v>
      </c>
      <c r="X238" s="97" t="str">
        <f>IF(Бланк!$U$23=W238,HLOOKUP(Бланк!$M$18,Цены[#All],V238,0),"")</f>
        <v/>
      </c>
      <c r="Z238" s="32">
        <f t="shared" ref="Z238" si="226">S238</f>
        <v>236</v>
      </c>
      <c r="AA238" s="10" t="str">
        <f t="shared" ref="AA238" si="227">T238</f>
        <v>Термо</v>
      </c>
      <c r="AB238" s="97" t="str">
        <f>IF(Бланк!$U$39=AA238,HLOOKUP(Бланк!$M$34,Цены[#All],Z238,0),"")</f>
        <v/>
      </c>
    </row>
    <row r="239" spans="1:28" ht="15.75">
      <c r="A239" s="39">
        <f t="shared" si="120"/>
        <v>237</v>
      </c>
      <c r="B239" s="116" t="s">
        <v>44</v>
      </c>
      <c r="C239" s="9" t="s">
        <v>332</v>
      </c>
      <c r="D239" s="843" t="s">
        <v>1075</v>
      </c>
      <c r="E239" s="154">
        <v>3</v>
      </c>
      <c r="F239" s="15">
        <v>3</v>
      </c>
      <c r="G239" s="843" t="s">
        <v>1075</v>
      </c>
      <c r="H239" s="15">
        <v>3</v>
      </c>
      <c r="I239" s="15">
        <v>3</v>
      </c>
      <c r="J239" s="119">
        <v>3</v>
      </c>
      <c r="K239" s="154"/>
      <c r="L239" s="587"/>
      <c r="M239" s="75">
        <f t="shared" si="186"/>
        <v>237</v>
      </c>
      <c r="N239" s="615" t="s">
        <v>44</v>
      </c>
      <c r="O239" s="583" t="str">
        <f t="shared" si="101"/>
        <v/>
      </c>
      <c r="P239" s="583" t="str">
        <f t="shared" si="102"/>
        <v/>
      </c>
      <c r="Q239" s="617" t="str">
        <f t="shared" si="103"/>
        <v/>
      </c>
      <c r="R239" s="61"/>
      <c r="S239" s="32">
        <f>Цена!A239</f>
        <v>237</v>
      </c>
      <c r="T239" s="63" t="str">
        <f>Цена!C239</f>
        <v>Авт.Apecs</v>
      </c>
      <c r="U239" s="97" t="str">
        <f>IF(OR(AND(Бланк!S6=T239,Бланк!U6="Шторка_О_2_М_3"),AND(OR(Бланк!$P$6="Эльбор без тяг",Бланк!$P$6="Эльбор с тягами"),Бланк!$S$6=T239)),$V$1,IF(Бланк!$S$6=T239,HLOOKUP(Бланк!$M$2,Цены[#All],S239,0),""))</f>
        <v/>
      </c>
      <c r="V239" s="32">
        <f t="shared" si="181"/>
        <v>237</v>
      </c>
      <c r="W239" s="10" t="str">
        <f t="shared" si="211"/>
        <v>Авт.Apecs</v>
      </c>
      <c r="X239" s="97" t="str">
        <f>IF(OR(AND(Бланк!S22=W239,Бланк!U22="Шторка_О_2_М_3"),AND(OR(Бланк!$O$22="Эльбор с тягами",Бланк!$P$22="Эльбор без тяг"),Бланк!$S$22=W239)),$Z$1,IF(Бланк!$S$22=W239,HLOOKUP(Бланк!$M$18,Цены[#All],V239,0),""))</f>
        <v/>
      </c>
      <c r="Z239" s="32">
        <f t="shared" si="141"/>
        <v>237</v>
      </c>
      <c r="AA239" s="10" t="str">
        <f t="shared" si="212"/>
        <v>Авт.Apecs</v>
      </c>
      <c r="AB239" s="97" t="str">
        <f>IF(OR(AND(Бланк!S38=AA239,Бланк!U38="Шторка_О_2_М_3"),AND(OR(Бланк!$P$38="Эльбор с тягами",Бланк!$P$38="Эльбор без тяг"),Бланк!$S$38=AA239)),$Z$1,IF(Бланк!$S$38=AA239,HLOOKUP(Бланк!$M$34,Цены[#All],Z239,0),""))</f>
        <v/>
      </c>
    </row>
    <row r="240" spans="1:28" ht="15.75">
      <c r="A240" s="39">
        <f t="shared" si="120"/>
        <v>238</v>
      </c>
      <c r="B240" s="116"/>
      <c r="C240" s="9" t="s">
        <v>333</v>
      </c>
      <c r="D240" s="843" t="s">
        <v>1075</v>
      </c>
      <c r="E240" s="154">
        <v>4</v>
      </c>
      <c r="F240" s="15">
        <v>4</v>
      </c>
      <c r="G240" s="843" t="s">
        <v>1075</v>
      </c>
      <c r="H240" s="15">
        <v>4</v>
      </c>
      <c r="I240" s="15">
        <v>4</v>
      </c>
      <c r="J240" s="119">
        <v>4</v>
      </c>
      <c r="K240" s="154"/>
      <c r="L240" s="587"/>
      <c r="M240" s="75">
        <f t="shared" si="186"/>
        <v>238</v>
      </c>
      <c r="N240" s="615" t="s">
        <v>44</v>
      </c>
      <c r="O240" s="583" t="str">
        <f t="shared" si="101"/>
        <v/>
      </c>
      <c r="P240" s="583" t="str">
        <f t="shared" si="102"/>
        <v/>
      </c>
      <c r="Q240" s="617" t="str">
        <f t="shared" si="103"/>
        <v/>
      </c>
      <c r="R240" s="61"/>
      <c r="S240" s="99">
        <f>Цена!A240</f>
        <v>238</v>
      </c>
      <c r="T240" s="63" t="str">
        <f>Цена!C240</f>
        <v>Авт.Crit</v>
      </c>
      <c r="U240" s="97" t="str">
        <f>IF(AND(OR(Бланк!$P$6="Эльбор без тяг",Бланк!$P$6="Эльбор с тягами"),Бланк!$R$6=T240),$V$1,IF(Бланк!$R$6=T240,HLOOKUP(Бланк!$M$2,Цены[#All],S240,0),""))</f>
        <v/>
      </c>
      <c r="V240" s="32">
        <f t="shared" si="181"/>
        <v>238</v>
      </c>
      <c r="W240" s="10" t="str">
        <f t="shared" si="211"/>
        <v>Авт.Crit</v>
      </c>
      <c r="X240" s="97" t="str">
        <f>IF(AND(OR(Бланк!$O$22="Эльбор с тягами",Бланк!$P$22="Эльбор без тяг"),Бланк!$R$22=W240),$Z$1,IF(Бланк!$R$22=W240,HLOOKUP(Бланк!$M$18,Цены[#All],V240,0),""))</f>
        <v/>
      </c>
      <c r="Z240" s="32">
        <f t="shared" si="141"/>
        <v>238</v>
      </c>
      <c r="AA240" s="10" t="str">
        <f t="shared" si="212"/>
        <v>Авт.Crit</v>
      </c>
      <c r="AB240" s="97" t="str">
        <f>IF(AND(OR(Бланк!$P$38="Эльбор с тягами",Бланк!$P$38="Эльбор без тяг"),Бланк!$R$38=AA240),$Z$1,IF(Бланк!$R$38=AA240,HLOOKUP(Бланк!$M$34,Цены[#All],Z240,0),""))</f>
        <v/>
      </c>
    </row>
    <row r="241" spans="1:28" s="39" customFormat="1" ht="15.75">
      <c r="A241" s="39">
        <f t="shared" si="120"/>
        <v>239</v>
      </c>
      <c r="B241" s="116"/>
      <c r="C241" s="9" t="s">
        <v>1138</v>
      </c>
      <c r="D241" s="843" t="s">
        <v>1075</v>
      </c>
      <c r="E241" s="154">
        <v>4</v>
      </c>
      <c r="F241" s="15">
        <v>4</v>
      </c>
      <c r="G241" s="843" t="s">
        <v>1075</v>
      </c>
      <c r="H241" s="15">
        <v>4</v>
      </c>
      <c r="I241" s="15">
        <v>4</v>
      </c>
      <c r="J241" s="119">
        <v>4</v>
      </c>
      <c r="K241" s="154"/>
      <c r="L241" s="587"/>
      <c r="M241" s="75">
        <f t="shared" si="186"/>
        <v>239</v>
      </c>
      <c r="N241" s="615" t="s">
        <v>44</v>
      </c>
      <c r="O241" s="583" t="str">
        <f t="shared" si="101"/>
        <v/>
      </c>
      <c r="P241" s="583" t="str">
        <f t="shared" si="102"/>
        <v/>
      </c>
      <c r="Q241" s="617" t="str">
        <f t="shared" si="103"/>
        <v/>
      </c>
      <c r="R241" s="61"/>
      <c r="S241" s="99">
        <f>Цена!A241</f>
        <v>239</v>
      </c>
      <c r="T241" s="63" t="str">
        <f>Цена!C241</f>
        <v>Авт.круг.чёрн</v>
      </c>
      <c r="U241" s="97" t="str">
        <f>IF(AND(OR(Бланк!$P$6="Эльбор без тяг",Бланк!$P$6="Эльбор с тягами"),Бланк!$R$6=T241),$V$1,IF(Бланк!$R$6=T241,HLOOKUP(Бланк!$M$2,Цены[#All],S241,0),""))</f>
        <v/>
      </c>
      <c r="V241" s="32">
        <f t="shared" ref="V241" si="228">A241</f>
        <v>239</v>
      </c>
      <c r="W241" s="10" t="str">
        <f t="shared" ref="W241" si="229">T241</f>
        <v>Авт.круг.чёрн</v>
      </c>
      <c r="X241" s="97" t="str">
        <f>IF(AND(OR(Бланк!$O$22="Эльбор с тягами",Бланк!$P$22="Эльбор без тяг"),Бланк!$R$22=W241),$Z$1,IF(Бланк!$R$22=W241,HLOOKUP(Бланк!$M$18,Цены[#All],V241,0),""))</f>
        <v/>
      </c>
      <c r="Z241" s="32">
        <f t="shared" ref="Z241" si="230">S241</f>
        <v>239</v>
      </c>
      <c r="AA241" s="10" t="str">
        <f t="shared" ref="AA241" si="231">T241</f>
        <v>Авт.круг.чёрн</v>
      </c>
      <c r="AB241" s="97" t="str">
        <f>IF(AND(OR(Бланк!$P$38="Эльбор с тягами",Бланк!$P$38="Эльбор без тяг"),Бланк!$R$38=AA241),$Z$1,IF(Бланк!$R$38=AA241,HLOOKUP(Бланк!$M$34,Цены[#All],Z241,0),""))</f>
        <v/>
      </c>
    </row>
    <row r="242" spans="1:28" s="39" customFormat="1" ht="15.75">
      <c r="A242" s="39">
        <f t="shared" si="120"/>
        <v>240</v>
      </c>
      <c r="B242" s="116"/>
      <c r="C242" s="9" t="s">
        <v>1136</v>
      </c>
      <c r="D242" s="843" t="s">
        <v>1075</v>
      </c>
      <c r="E242" s="154">
        <f>E240</f>
        <v>4</v>
      </c>
      <c r="F242" s="15">
        <f>F240</f>
        <v>4</v>
      </c>
      <c r="G242" s="843" t="s">
        <v>1075</v>
      </c>
      <c r="H242" s="15">
        <f>H240</f>
        <v>4</v>
      </c>
      <c r="I242" s="15">
        <f>I240</f>
        <v>4</v>
      </c>
      <c r="J242" s="119">
        <f>J240</f>
        <v>4</v>
      </c>
      <c r="K242" s="154"/>
      <c r="L242" s="589"/>
      <c r="M242" s="75">
        <f t="shared" si="186"/>
        <v>240</v>
      </c>
      <c r="N242" s="615" t="s">
        <v>44</v>
      </c>
      <c r="O242" s="583" t="str">
        <f t="shared" si="101"/>
        <v/>
      </c>
      <c r="P242" s="583" t="str">
        <f t="shared" si="102"/>
        <v/>
      </c>
      <c r="Q242" s="617" t="str">
        <f t="shared" si="103"/>
        <v/>
      </c>
      <c r="R242" s="61"/>
      <c r="S242" s="99">
        <f>Цена!A242</f>
        <v>240</v>
      </c>
      <c r="T242" s="63" t="str">
        <f>Цена!C242</f>
        <v>Авт.квад.хром</v>
      </c>
      <c r="U242" s="97" t="str">
        <f>IF(AND(OR(Бланк!$P$6="Эльбор без тяг",Бланк!$P$6="Эльбор с тягами"),Бланк!$S$6=T242),$V$1,IF(Бланк!$S$6=T242,HLOOKUP(Бланк!$M$2,Цены[#All],S242,0),""))</f>
        <v/>
      </c>
      <c r="V242" s="32">
        <f t="shared" si="181"/>
        <v>240</v>
      </c>
      <c r="W242" s="10" t="str">
        <f>T242</f>
        <v>Авт.квад.хром</v>
      </c>
      <c r="X242" s="97" t="str">
        <f>IF(AND(OR(Бланк!$O$22="Эльбор с тягами",Бланк!$P$22="Эльбор без тяг"),Бланк!$S$22=W242),$Z$1,IF(Бланк!$S$22=W242,HLOOKUP(Бланк!$M$18,Цены[#All],V242,0),""))</f>
        <v/>
      </c>
      <c r="Z242" s="32">
        <f>S242</f>
        <v>240</v>
      </c>
      <c r="AA242" s="10" t="str">
        <f>T242</f>
        <v>Авт.квад.хром</v>
      </c>
      <c r="AB242" s="97" t="str">
        <f>IF(AND(OR(Бланк!$P$38="Эльбор с тягами",Бланк!$P$38="Эльбор без тяг"),Бланк!$S$38=AA242),$Z$1,IF(Бланк!$S$38=AA242,HLOOKUP(Бланк!$M$34,Цены[#All],Z242,0),""))</f>
        <v/>
      </c>
    </row>
    <row r="243" spans="1:28" s="39" customFormat="1" ht="15.75">
      <c r="A243" s="39">
        <f t="shared" si="120"/>
        <v>241</v>
      </c>
      <c r="B243" s="116"/>
      <c r="C243" s="9" t="s">
        <v>1137</v>
      </c>
      <c r="D243" s="843" t="s">
        <v>1075</v>
      </c>
      <c r="E243" s="154">
        <f t="shared" ref="E243:J243" si="232">E242</f>
        <v>4</v>
      </c>
      <c r="F243" s="15">
        <f t="shared" si="232"/>
        <v>4</v>
      </c>
      <c r="G243" s="843" t="s">
        <v>1075</v>
      </c>
      <c r="H243" s="15">
        <f t="shared" si="232"/>
        <v>4</v>
      </c>
      <c r="I243" s="15">
        <f t="shared" si="232"/>
        <v>4</v>
      </c>
      <c r="J243" s="119">
        <f t="shared" si="232"/>
        <v>4</v>
      </c>
      <c r="K243" s="154"/>
      <c r="L243" s="589"/>
      <c r="M243" s="75">
        <f t="shared" ref="M243:M297" si="233">A243</f>
        <v>241</v>
      </c>
      <c r="N243" s="615" t="s">
        <v>44</v>
      </c>
      <c r="O243" s="583" t="str">
        <f t="shared" si="101"/>
        <v/>
      </c>
      <c r="P243" s="583" t="str">
        <f t="shared" si="102"/>
        <v/>
      </c>
      <c r="Q243" s="617" t="str">
        <f t="shared" si="103"/>
        <v/>
      </c>
      <c r="R243" s="61"/>
      <c r="S243" s="99">
        <f>Цена!A243</f>
        <v>241</v>
      </c>
      <c r="T243" s="63" t="str">
        <f>Цена!C243</f>
        <v>Авт.квад.чёрн</v>
      </c>
      <c r="U243" s="97" t="str">
        <f>IF(AND(OR(Бланк!$P$6="Эльбор без тяг",Бланк!$P$6="Эльбор с тягами"),Бланк!$S$6=T243),$V$1,IF(Бланк!$S$6=T243,HLOOKUP(Бланк!$M$2,Цены[#All],S243,0),""))</f>
        <v/>
      </c>
      <c r="V243" s="32">
        <f t="shared" ref="V243" si="234">A243</f>
        <v>241</v>
      </c>
      <c r="W243" s="10" t="str">
        <f>T243</f>
        <v>Авт.квад.чёрн</v>
      </c>
      <c r="X243" s="97" t="str">
        <f>IF(AND(OR(Бланк!$O$22="Эльбор с тягами",Бланк!$P$22="Эльбор без тяг"),Бланк!$S$22=W243),$Z$1,IF(Бланк!$S$22=W243,HLOOKUP(Бланк!$M$18,Цены[#All],V243,0),""))</f>
        <v/>
      </c>
      <c r="Z243" s="32">
        <f>S243</f>
        <v>241</v>
      </c>
      <c r="AA243" s="10" t="str">
        <f>T243</f>
        <v>Авт.квад.чёрн</v>
      </c>
      <c r="AB243" s="97" t="str">
        <f>IF(AND(OR(Бланк!$P$38="Эльбор с тягами",Бланк!$P$38="Эльбор без тяг"),Бланк!$S$38=AA243),$Z$1,IF(Бланк!$S$38=AA243,HLOOKUP(Бланк!$M$34,Цены[#All],Z243,0),""))</f>
        <v/>
      </c>
    </row>
    <row r="244" spans="1:28" ht="15.75">
      <c r="A244" s="39">
        <f t="shared" si="120"/>
        <v>242</v>
      </c>
      <c r="B244" s="116" t="s">
        <v>45</v>
      </c>
      <c r="C244" s="9" t="s">
        <v>523</v>
      </c>
      <c r="D244" s="843" t="s">
        <v>1075</v>
      </c>
      <c r="E244" s="425">
        <f>4*1.2+0.2</f>
        <v>5</v>
      </c>
      <c r="F244" s="15">
        <f>Цены[[#This Row],[О_1]]</f>
        <v>5</v>
      </c>
      <c r="G244" s="843" t="s">
        <v>1075</v>
      </c>
      <c r="H244" s="15">
        <f>Цены[[#This Row],[О_1]]</f>
        <v>5</v>
      </c>
      <c r="I244" s="15">
        <f>Цены[[#This Row],[О_2]]</f>
        <v>5</v>
      </c>
      <c r="J244" s="119">
        <f>Цены[[#This Row],[О_1]]</f>
        <v>5</v>
      </c>
      <c r="K244" s="154"/>
      <c r="L244" s="587"/>
      <c r="M244" s="75">
        <f t="shared" si="233"/>
        <v>242</v>
      </c>
      <c r="N244" s="615" t="s">
        <v>44</v>
      </c>
      <c r="O244" s="583" t="str">
        <f t="shared" si="101"/>
        <v/>
      </c>
      <c r="P244" s="583" t="str">
        <f t="shared" si="102"/>
        <v/>
      </c>
      <c r="Q244" s="617" t="str">
        <f t="shared" si="103"/>
        <v/>
      </c>
      <c r="R244" s="61"/>
      <c r="S244" s="99">
        <f>Цена!A244</f>
        <v>242</v>
      </c>
      <c r="T244" s="63" t="str">
        <f>Цена!C244</f>
        <v>Авт. KALE</v>
      </c>
      <c r="U244" s="97" t="str">
        <f>IF(AND(OR(Бланк!$P$6="Эльбор без тяг",Бланк!$P$6="Эльбор с тягами"),Бланк!$S$6=T244),$V$1,IF(Бланк!$S$6=T244,HLOOKUP(Бланк!$M$2,Цены[#All],S244,0),""))</f>
        <v/>
      </c>
      <c r="V244" s="32">
        <f t="shared" si="181"/>
        <v>242</v>
      </c>
      <c r="W244" s="10" t="str">
        <f t="shared" si="211"/>
        <v>Авт. KALE</v>
      </c>
      <c r="X244" s="97" t="str">
        <f>IF(AND(OR(Бланк!$O$22="Эльбор с тягами",Бланк!$P$22="Эльбор без тяг"),Бланк!$S$22=W244),$Z$1,IF(Бланк!$S$22=W244,HLOOKUP(Бланк!$M$18,Цены[#All],V244,0),""))</f>
        <v/>
      </c>
      <c r="Z244" s="32">
        <f t="shared" si="141"/>
        <v>242</v>
      </c>
      <c r="AA244" s="10" t="str">
        <f t="shared" si="212"/>
        <v>Авт. KALE</v>
      </c>
      <c r="AB244" s="97" t="str">
        <f>IF(AND(OR(Бланк!$P$38="Эльбор с тягами",Бланк!$P$38="Эльбор без тяг"),Бланк!$S$38=AA244),$Z$1,IF(Бланк!$S$38=AA244,HLOOKUP(Бланк!$M$34,Цены[#All],Z244,0),""))</f>
        <v/>
      </c>
    </row>
    <row r="245" spans="1:28" s="39" customFormat="1" ht="15.75">
      <c r="A245" s="39">
        <f t="shared" si="120"/>
        <v>243</v>
      </c>
      <c r="B245" s="424" t="s">
        <v>884</v>
      </c>
      <c r="C245" s="419" t="s">
        <v>988</v>
      </c>
      <c r="D245" s="843" t="s">
        <v>1075</v>
      </c>
      <c r="E245" s="425">
        <v>2</v>
      </c>
      <c r="F245" s="380">
        <v>2</v>
      </c>
      <c r="G245" s="843" t="s">
        <v>1075</v>
      </c>
      <c r="H245" s="380">
        <v>2</v>
      </c>
      <c r="I245" s="380">
        <v>2</v>
      </c>
      <c r="J245" s="420">
        <v>2</v>
      </c>
      <c r="K245" s="425"/>
      <c r="L245" s="585"/>
      <c r="M245" s="75">
        <f t="shared" si="233"/>
        <v>243</v>
      </c>
      <c r="N245" s="597" t="str">
        <f>Цены[[#This Row],[Столбец1]]</f>
        <v>накладка верх</v>
      </c>
      <c r="O245" s="583" t="str">
        <f t="shared" si="101"/>
        <v/>
      </c>
      <c r="P245" s="583" t="str">
        <f t="shared" si="102"/>
        <v/>
      </c>
      <c r="Q245" s="617" t="str">
        <f t="shared" si="103"/>
        <v/>
      </c>
      <c r="R245" s="426"/>
      <c r="S245" s="99">
        <f>Цена!A245</f>
        <v>243</v>
      </c>
      <c r="T245" s="427" t="str">
        <f>Цены[[#This Row],[Параметр]]</f>
        <v>DP-12</v>
      </c>
      <c r="U245" s="97" t="str">
        <f>IF(AND(OR(Бланк!$P$6="Эльбор без тяг",Бланк!$P$6="Эльбор с тягами"),Бланк!$S$6=T245),$V$1,IF(Бланк!$S$6=T245,HLOOKUP(Бланк!$M$2,Цены[#All],S245,0),""))</f>
        <v/>
      </c>
      <c r="V245" s="32">
        <f t="shared" si="181"/>
        <v>243</v>
      </c>
      <c r="W245" s="10" t="str">
        <f>T245</f>
        <v>DP-12</v>
      </c>
      <c r="X245" s="97" t="str">
        <f>IF(AND(OR(Бланк!$O$22="Эльбор с тягами",Бланк!$P$22="Эльбор без тяг"),Бланк!$S$22=W245),$Z$1,IF(Бланк!$S$22=W245,HLOOKUP(Бланк!$M$18,Цены[#All],V245,0),""))</f>
        <v/>
      </c>
      <c r="Z245" s="32">
        <f>S245</f>
        <v>243</v>
      </c>
      <c r="AA245" s="10" t="str">
        <f>T245</f>
        <v>DP-12</v>
      </c>
      <c r="AB245" s="97" t="str">
        <f>IF(AND(OR(Бланк!$P$38="Эльбор с тягами",Бланк!$P$38="Эльбор без тяг"),Бланк!$S$38=AA245),$Z$1,IF(Бланк!$S$38=AA245,HLOOKUP(Бланк!$M$34,Цены[#All],Z245,0),""))</f>
        <v/>
      </c>
    </row>
    <row r="246" spans="1:28" s="569" customFormat="1" ht="15.75">
      <c r="A246" s="39">
        <f t="shared" si="120"/>
        <v>244</v>
      </c>
      <c r="B246" s="570"/>
      <c r="C246" s="419" t="s">
        <v>1654</v>
      </c>
      <c r="D246" s="571" t="s">
        <v>1075</v>
      </c>
      <c r="E246" s="572">
        <v>6</v>
      </c>
      <c r="F246" s="572">
        <f>E246</f>
        <v>6</v>
      </c>
      <c r="G246" s="571" t="s">
        <v>1075</v>
      </c>
      <c r="H246" s="425">
        <f>F246</f>
        <v>6</v>
      </c>
      <c r="I246" s="572">
        <f>H246</f>
        <v>6</v>
      </c>
      <c r="J246" s="824">
        <f>I246</f>
        <v>6</v>
      </c>
      <c r="K246" s="572"/>
      <c r="L246" s="590"/>
      <c r="M246" s="75">
        <f t="shared" ref="M246" si="235">A246</f>
        <v>244</v>
      </c>
      <c r="N246" s="597" t="str">
        <f>B245</f>
        <v>накладка верх</v>
      </c>
      <c r="O246" s="583" t="str">
        <f t="shared" ref="O246" si="236">IF(U246=$V$1,"Ошибка-1","")</f>
        <v/>
      </c>
      <c r="P246" s="583" t="str">
        <f t="shared" ref="P246" si="237">IF(X246=$V$1,"Ошибка-2","")</f>
        <v/>
      </c>
      <c r="Q246" s="617" t="str">
        <f t="shared" ref="Q246" si="238">IF(AB246=$V$1,"Ошибка-3","")</f>
        <v/>
      </c>
      <c r="S246" s="573">
        <f>Цена!A246</f>
        <v>244</v>
      </c>
      <c r="T246" s="574" t="str">
        <f>Цены[[#This Row],[Параметр]]</f>
        <v>Никель</v>
      </c>
      <c r="U246" s="575" t="str">
        <f>IF(AND(OR(Бланк!$P$6="Эльбор без тяг",Бланк!$P$6="Эльбор с тягами"),Бланк!$S$6=T246),$V$1,IF(Бланк!$S$6=T246,HLOOKUP(Бланк!$M$2,Цены[#All],S246,0),""))</f>
        <v/>
      </c>
      <c r="V246" s="573">
        <f t="shared" ref="V246" si="239">A246</f>
        <v>244</v>
      </c>
      <c r="W246" s="574" t="str">
        <f>T246</f>
        <v>Никель</v>
      </c>
      <c r="X246" s="575" t="str">
        <f>IF(AND(OR(Бланк!$O$22="Эльбор с тягами",Бланк!$P$22="Эльбор без тяг"),Бланк!$S$22=W246),$Z$1,IF(Бланк!$S$22=W246,HLOOKUP(Бланк!$M$18,Цены[#All],V246,0),""))</f>
        <v/>
      </c>
      <c r="Z246" s="573">
        <f>S246</f>
        <v>244</v>
      </c>
      <c r="AA246" s="574" t="str">
        <f>T246</f>
        <v>Никель</v>
      </c>
      <c r="AB246" s="575" t="str">
        <f>IF(AND(OR(Бланк!$P$38="Эльбор с тягами",Бланк!$P$38="Эльбор без тяг"),Бланк!$S$38=AA246),$Z$1,IF(Бланк!$S$38=AA246,HLOOKUP(Бланк!$M$34,Цены[#All],Z246,0),""))</f>
        <v/>
      </c>
    </row>
    <row r="247" spans="1:28" ht="15.75">
      <c r="A247" s="39">
        <f t="shared" si="120"/>
        <v>245</v>
      </c>
      <c r="B247" s="117" t="s">
        <v>50</v>
      </c>
      <c r="C247" s="9" t="s">
        <v>50</v>
      </c>
      <c r="D247" s="15">
        <v>26</v>
      </c>
      <c r="E247" s="154">
        <v>26</v>
      </c>
      <c r="F247" s="15">
        <v>26</v>
      </c>
      <c r="G247" s="15">
        <v>26</v>
      </c>
      <c r="H247" s="15">
        <v>26</v>
      </c>
      <c r="I247" s="15">
        <v>26</v>
      </c>
      <c r="J247" s="119">
        <v>26</v>
      </c>
      <c r="K247" s="154"/>
      <c r="L247" s="587"/>
      <c r="M247" s="75">
        <f t="shared" si="233"/>
        <v>245</v>
      </c>
      <c r="N247" s="594" t="s">
        <v>24</v>
      </c>
      <c r="O247" s="583" t="str">
        <f t="shared" si="101"/>
        <v/>
      </c>
      <c r="P247" s="583" t="str">
        <f t="shared" si="102"/>
        <v/>
      </c>
      <c r="Q247" s="617" t="str">
        <f t="shared" si="103"/>
        <v/>
      </c>
      <c r="S247" s="99">
        <f>Цена!A247</f>
        <v>245</v>
      </c>
      <c r="T247" s="62" t="str">
        <f>Цена!C247</f>
        <v>Доводчик</v>
      </c>
      <c r="U247" s="97" t="str">
        <f>IF(Бланк!$I$8=T247,HLOOKUP(Бланк!$M$2,Цены[#All],S247,0),"")</f>
        <v/>
      </c>
      <c r="V247" s="32">
        <f t="shared" si="181"/>
        <v>245</v>
      </c>
      <c r="W247" s="10" t="str">
        <f t="shared" si="211"/>
        <v>Доводчик</v>
      </c>
      <c r="X247" s="97" t="str">
        <f>IF(Бланк!$I$24=W247,HLOOKUP(Бланк!$M$18,Цены[#All],V247,0),"")</f>
        <v/>
      </c>
      <c r="Z247" s="32">
        <f t="shared" si="141"/>
        <v>245</v>
      </c>
      <c r="AA247" s="10" t="str">
        <f t="shared" si="212"/>
        <v>Доводчик</v>
      </c>
      <c r="AB247" s="97" t="str">
        <f>IF(Бланк!$I$40=W247,HLOOKUP(Бланк!$M$34,Цены[#All],V247,0),"")</f>
        <v/>
      </c>
    </row>
    <row r="248" spans="1:28" ht="15.75">
      <c r="A248" s="39">
        <f t="shared" si="120"/>
        <v>246</v>
      </c>
      <c r="B248" s="117" t="s">
        <v>24</v>
      </c>
      <c r="C248" s="228" t="s">
        <v>25</v>
      </c>
      <c r="D248" s="843"/>
      <c r="E248" s="165">
        <v>-5</v>
      </c>
      <c r="F248" s="843" t="s">
        <v>1075</v>
      </c>
      <c r="G248" s="843"/>
      <c r="H248" s="15">
        <v>-5</v>
      </c>
      <c r="I248" s="843" t="s">
        <v>1075</v>
      </c>
      <c r="J248" s="119" t="s">
        <v>1075</v>
      </c>
      <c r="K248" s="165"/>
      <c r="L248" s="75"/>
      <c r="M248" s="75">
        <f t="shared" si="233"/>
        <v>246</v>
      </c>
      <c r="N248" s="594" t="s">
        <v>24</v>
      </c>
      <c r="O248" s="583" t="str">
        <f t="shared" si="101"/>
        <v/>
      </c>
      <c r="P248" s="583" t="str">
        <f t="shared" si="102"/>
        <v/>
      </c>
      <c r="Q248" s="617" t="str">
        <f t="shared" si="103"/>
        <v/>
      </c>
      <c r="S248" s="99">
        <f>Цена!A248</f>
        <v>246</v>
      </c>
      <c r="T248" s="62" t="str">
        <f>Цена!C248</f>
        <v>Порошок</v>
      </c>
      <c r="U248" s="97">
        <f>IF(AND(OR(Бланк!$S$2="3-х конт.",Бланк!$G$6="ПКТ"),Бланк!$B$8=T248),$V$1,IF(Бланк!$B$8=T248,HLOOKUP(Бланк!$M$2,Цены[#All],S248,0),""))</f>
        <v>0</v>
      </c>
      <c r="V248" s="32">
        <f t="shared" si="181"/>
        <v>246</v>
      </c>
      <c r="W248" s="10" t="str">
        <f t="shared" si="211"/>
        <v>Порошок</v>
      </c>
      <c r="X248" s="97" t="str">
        <f>IF(AND(OR(Бланк!$S$18="3-х конт.",Бланк!$G$22="ПКТ"),Бланк!$B$24=W248),$V$1,IF(Бланк!$B$24=W248,HLOOKUP(Бланк!$M$18,Цены[#All],V248,0),""))</f>
        <v/>
      </c>
      <c r="Z248" s="32">
        <f t="shared" si="141"/>
        <v>246</v>
      </c>
      <c r="AA248" s="10" t="str">
        <f t="shared" si="212"/>
        <v>Порошок</v>
      </c>
      <c r="AB248" s="97" t="str">
        <f>IF(AND(OR(Бланк!S34="3-х конт.",Бланк!F38="ПКТ"),Бланк!B40=AA248),$V$1,IF(Бланк!$B$40=AA248,HLOOKUP(Бланк!$M$34,Цены[#All],Z248,0),""))</f>
        <v/>
      </c>
    </row>
    <row r="249" spans="1:28" ht="15.75">
      <c r="A249" s="39">
        <f t="shared" si="120"/>
        <v>247</v>
      </c>
      <c r="B249" s="117"/>
      <c r="C249" s="228" t="s">
        <v>26</v>
      </c>
      <c r="D249" s="843">
        <v>5</v>
      </c>
      <c r="E249" s="165"/>
      <c r="F249" s="843"/>
      <c r="G249" s="843">
        <v>5</v>
      </c>
      <c r="H249" s="15"/>
      <c r="I249" s="843"/>
      <c r="J249" s="119"/>
      <c r="K249" s="165"/>
      <c r="L249" s="75"/>
      <c r="M249" s="75">
        <f t="shared" si="233"/>
        <v>247</v>
      </c>
      <c r="N249" s="594" t="s">
        <v>24</v>
      </c>
      <c r="O249" s="583" t="str">
        <f t="shared" si="101"/>
        <v/>
      </c>
      <c r="P249" s="583" t="str">
        <f t="shared" si="102"/>
        <v/>
      </c>
      <c r="Q249" s="617" t="str">
        <f t="shared" si="103"/>
        <v/>
      </c>
      <c r="S249" s="99">
        <f>Цена!A249</f>
        <v>247</v>
      </c>
      <c r="T249" s="62" t="str">
        <f>Цена!C249</f>
        <v>Р001</v>
      </c>
      <c r="U249" s="97" t="str">
        <f>IF(AND(OR(Бланк!$S$2="3-х конт.",Бланк!$G$6="терморазрыв"),Бланк!$C$8=T249),$V$1,IF(Бланк!$B$8=T249,HLOOKUP(Бланк!$M$2,Цены[#All],S249,0),""))</f>
        <v/>
      </c>
      <c r="V249" s="32">
        <f t="shared" si="181"/>
        <v>247</v>
      </c>
      <c r="W249" s="10" t="str">
        <f t="shared" si="211"/>
        <v>Р001</v>
      </c>
      <c r="X249" s="97">
        <f>IF(AND(OR(Бланк!$S$18="3-х конт.",Бланк!$G$22="терморазрыв"),Бланк!$C$24=T249),$V$1,IF(Бланк!$B$24=W249,HLOOKUP(Бланк!$M$18,Цены[#All],V249,0),""))</f>
        <v>0</v>
      </c>
      <c r="Z249" s="32">
        <f t="shared" si="141"/>
        <v>247</v>
      </c>
      <c r="AA249" s="10" t="str">
        <f t="shared" si="212"/>
        <v>Р001</v>
      </c>
      <c r="AB249" s="97" t="str">
        <f>IF(AND(OR(Бланк!S34="3-х конт.",Бланк!G38="терморазрыв"),Бланк!C40=AA249),$V$1,IF(Бланк!$B$40=AA249,HLOOKUP(Бланк!$M$34,Цены[#All],Z249,0),""))</f>
        <v/>
      </c>
    </row>
    <row r="250" spans="1:28" ht="15.75">
      <c r="A250" s="39">
        <f t="shared" si="120"/>
        <v>248</v>
      </c>
      <c r="B250" s="117"/>
      <c r="C250" s="228" t="s">
        <v>27</v>
      </c>
      <c r="D250" s="843">
        <v>9</v>
      </c>
      <c r="E250" s="165">
        <v>3</v>
      </c>
      <c r="F250" s="843"/>
      <c r="G250" s="843">
        <v>9</v>
      </c>
      <c r="H250" s="15">
        <v>3</v>
      </c>
      <c r="I250" s="843"/>
      <c r="J250" s="119"/>
      <c r="K250" s="165"/>
      <c r="L250" s="75"/>
      <c r="M250" s="75">
        <f t="shared" si="233"/>
        <v>248</v>
      </c>
      <c r="N250" s="594" t="s">
        <v>24</v>
      </c>
      <c r="O250" s="583" t="str">
        <f t="shared" si="101"/>
        <v/>
      </c>
      <c r="P250" s="583" t="str">
        <f t="shared" si="102"/>
        <v/>
      </c>
      <c r="Q250" s="617" t="str">
        <f t="shared" si="103"/>
        <v/>
      </c>
      <c r="S250" s="99">
        <f>Цена!A250</f>
        <v>248</v>
      </c>
      <c r="T250" s="62" t="str">
        <f>Цена!C250</f>
        <v>розетка</v>
      </c>
      <c r="U250" s="97" t="str">
        <f>IF(Бланк!$B$8=T250,HLOOKUP(Бланк!$M$2,Цены[#All],S250,0),"")</f>
        <v/>
      </c>
      <c r="V250" s="32">
        <f t="shared" si="181"/>
        <v>248</v>
      </c>
      <c r="W250" s="10" t="str">
        <f t="shared" si="211"/>
        <v>розетка</v>
      </c>
      <c r="X250" s="97" t="str">
        <f>IF(Бланк!$B$24=W250,HLOOKUP(Бланк!$M$18,Цены[#All],V250,0),"")</f>
        <v/>
      </c>
      <c r="Z250" s="32">
        <f t="shared" si="141"/>
        <v>248</v>
      </c>
      <c r="AA250" s="10" t="str">
        <f t="shared" si="212"/>
        <v>розетка</v>
      </c>
      <c r="AB250" s="97">
        <f>IF(Бланк!$B$40=AA250,HLOOKUP(Бланк!$M$34,Цены[#All],Z250,0),"")</f>
        <v>0</v>
      </c>
    </row>
    <row r="251" spans="1:28" s="39" customFormat="1" ht="15.75">
      <c r="A251" s="39">
        <f t="shared" si="120"/>
        <v>249</v>
      </c>
      <c r="B251" s="117"/>
      <c r="C251" s="9" t="s">
        <v>779</v>
      </c>
      <c r="D251" s="629">
        <f>D250+2</f>
        <v>11</v>
      </c>
      <c r="E251" s="752">
        <f t="shared" ref="E251:J251" si="240">E250+2</f>
        <v>5</v>
      </c>
      <c r="F251" s="629">
        <f t="shared" si="240"/>
        <v>2</v>
      </c>
      <c r="G251" s="629">
        <f t="shared" si="240"/>
        <v>11</v>
      </c>
      <c r="H251" s="15">
        <f t="shared" si="240"/>
        <v>5</v>
      </c>
      <c r="I251" s="843">
        <f t="shared" si="240"/>
        <v>2</v>
      </c>
      <c r="J251" s="119">
        <f t="shared" si="240"/>
        <v>2</v>
      </c>
      <c r="K251" s="165"/>
      <c r="L251" s="583"/>
      <c r="M251" s="75">
        <f t="shared" si="233"/>
        <v>249</v>
      </c>
      <c r="N251" s="594" t="s">
        <v>24</v>
      </c>
      <c r="O251" s="583" t="str">
        <f t="shared" si="101"/>
        <v/>
      </c>
      <c r="P251" s="583" t="str">
        <f t="shared" si="102"/>
        <v/>
      </c>
      <c r="Q251" s="617" t="str">
        <f t="shared" si="103"/>
        <v/>
      </c>
      <c r="S251" s="99">
        <f>Цена!A251</f>
        <v>249</v>
      </c>
      <c r="T251" s="62" t="str">
        <f>Цена!C251</f>
        <v>роз_нержав.</v>
      </c>
      <c r="U251" s="97" t="str">
        <f>IF(Бланк!$B$8=T251,HLOOKUP(Бланк!$M$2,Цены[#All],S251,0),"")</f>
        <v/>
      </c>
      <c r="V251" s="32">
        <f t="shared" si="181"/>
        <v>249</v>
      </c>
      <c r="W251" s="10" t="str">
        <f>T251</f>
        <v>роз_нержав.</v>
      </c>
      <c r="X251" s="97" t="str">
        <f>IF(Бланк!$B$24=W251,HLOOKUP(Бланк!$M$18,Цены[#All],V251,0),"")</f>
        <v/>
      </c>
      <c r="Z251" s="32">
        <f t="shared" ref="Z251:AA253" si="241">S251</f>
        <v>249</v>
      </c>
      <c r="AA251" s="10" t="str">
        <f t="shared" si="241"/>
        <v>роз_нержав.</v>
      </c>
      <c r="AB251" s="97" t="str">
        <f>IF(Бланк!$B$40=AA251,HLOOKUP(Бланк!$M$34,Цены[#All],Z251,0),"")</f>
        <v/>
      </c>
    </row>
    <row r="252" spans="1:28" s="39" customFormat="1" ht="15.75">
      <c r="A252" s="39">
        <f t="shared" si="120"/>
        <v>250</v>
      </c>
      <c r="B252" s="117"/>
      <c r="C252" s="228" t="s">
        <v>1273</v>
      </c>
      <c r="D252" s="380">
        <v>13</v>
      </c>
      <c r="E252" s="425">
        <v>7</v>
      </c>
      <c r="F252" s="380">
        <v>4</v>
      </c>
      <c r="G252" s="580">
        <f>Цены[[#This Row],[О_0]]</f>
        <v>13</v>
      </c>
      <c r="H252" s="580">
        <f>Цены[[#This Row],[О_1]]</f>
        <v>7</v>
      </c>
      <c r="I252" s="580">
        <f>Цены[[#This Row],[О_2]]</f>
        <v>4</v>
      </c>
      <c r="J252" s="119">
        <f>Цены[[#This Row],[О_2]]</f>
        <v>4</v>
      </c>
      <c r="K252" s="425">
        <f>Цены[[#This Row],[О_0]]</f>
        <v>13</v>
      </c>
      <c r="L252" s="583"/>
      <c r="M252" s="75">
        <f t="shared" si="233"/>
        <v>250</v>
      </c>
      <c r="N252" s="594" t="s">
        <v>24</v>
      </c>
      <c r="O252" s="583" t="str">
        <f t="shared" ref="O252:O298" si="242">IF(U252=$V$1,"Ошибка-1","")</f>
        <v/>
      </c>
      <c r="P252" s="583" t="str">
        <f t="shared" ref="P252:P298" si="243">IF(X252=$V$1,"Ошибка-2","")</f>
        <v/>
      </c>
      <c r="Q252" s="617" t="str">
        <f t="shared" ref="Q252:Q298" si="244">IF(AB252=$V$1,"Ошибка-3","")</f>
        <v/>
      </c>
      <c r="S252" s="99">
        <f>Цена!A252</f>
        <v>250</v>
      </c>
      <c r="T252" s="62" t="str">
        <f>Цена!C252</f>
        <v>роз_квад_хр.</v>
      </c>
      <c r="U252" s="97" t="str">
        <f>IF(Бланк!$B$8=T252,HLOOKUP(Бланк!$M$2,Цены[#All],S252,0),"")</f>
        <v/>
      </c>
      <c r="V252" s="32">
        <f t="shared" si="181"/>
        <v>250</v>
      </c>
      <c r="W252" s="10" t="str">
        <f>T252</f>
        <v>роз_квад_хр.</v>
      </c>
      <c r="X252" s="97" t="str">
        <f>IF(Бланк!$B$24=W252,HLOOKUP(Бланк!$M$18,Цены[#All],V252,0),"")</f>
        <v/>
      </c>
      <c r="Z252" s="32">
        <f t="shared" si="241"/>
        <v>250</v>
      </c>
      <c r="AA252" s="10" t="str">
        <f t="shared" si="241"/>
        <v>роз_квад_хр.</v>
      </c>
      <c r="AB252" s="97" t="str">
        <f>IF(Бланк!$B$40=AA252,HLOOKUP(Бланк!$M$34,Цены[#All],Z252,0),"")</f>
        <v/>
      </c>
    </row>
    <row r="253" spans="1:28" s="39" customFormat="1" ht="15.75">
      <c r="A253" s="39">
        <f t="shared" ref="A253:A298" si="245">A252+1</f>
        <v>251</v>
      </c>
      <c r="B253" s="117"/>
      <c r="C253" s="228" t="s">
        <v>756</v>
      </c>
      <c r="D253" s="843">
        <f t="shared" ref="D253:J253" si="246">D250+2</f>
        <v>11</v>
      </c>
      <c r="E253" s="165">
        <f t="shared" si="246"/>
        <v>5</v>
      </c>
      <c r="F253" s="843">
        <f t="shared" si="246"/>
        <v>2</v>
      </c>
      <c r="G253" s="843">
        <f t="shared" si="246"/>
        <v>11</v>
      </c>
      <c r="H253" s="15">
        <f t="shared" si="246"/>
        <v>5</v>
      </c>
      <c r="I253" s="843">
        <f t="shared" si="246"/>
        <v>2</v>
      </c>
      <c r="J253" s="119">
        <f t="shared" si="246"/>
        <v>2</v>
      </c>
      <c r="K253" s="165"/>
      <c r="L253" s="583"/>
      <c r="M253" s="75">
        <f t="shared" si="233"/>
        <v>251</v>
      </c>
      <c r="N253" s="594" t="s">
        <v>24</v>
      </c>
      <c r="O253" s="583" t="str">
        <f t="shared" si="242"/>
        <v/>
      </c>
      <c r="P253" s="583" t="str">
        <f t="shared" si="243"/>
        <v/>
      </c>
      <c r="Q253" s="617" t="str">
        <f t="shared" si="244"/>
        <v/>
      </c>
      <c r="S253" s="99">
        <f>Цена!A253</f>
        <v>251</v>
      </c>
      <c r="T253" s="62" t="str">
        <f>Цена!C253</f>
        <v>Мегаполис</v>
      </c>
      <c r="U253" s="97" t="str">
        <f>IF(Бланк!$B$8=T253,HLOOKUP(Бланк!$M$2,Цены[#All],S253,0),"")</f>
        <v/>
      </c>
      <c r="V253" s="32">
        <f t="shared" si="181"/>
        <v>251</v>
      </c>
      <c r="W253" s="10" t="str">
        <f>T253</f>
        <v>Мегаполис</v>
      </c>
      <c r="X253" s="97" t="str">
        <f>IF(Бланк!$B$24=W253,HLOOKUP(Бланк!$M$18,Цены[#All],V253,0),"")</f>
        <v/>
      </c>
      <c r="Z253" s="32">
        <f t="shared" si="241"/>
        <v>251</v>
      </c>
      <c r="AA253" s="10" t="str">
        <f t="shared" si="241"/>
        <v>Мегаполис</v>
      </c>
      <c r="AB253" s="97" t="str">
        <f>IF(Бланк!$B$40=AA253,HLOOKUP(Бланк!$M$34,Цены[#All],Z253,0),"")</f>
        <v/>
      </c>
    </row>
    <row r="254" spans="1:28" s="39" customFormat="1" ht="15.75">
      <c r="A254" s="39">
        <f t="shared" si="245"/>
        <v>252</v>
      </c>
      <c r="B254" s="117"/>
      <c r="C254" s="228" t="s">
        <v>1601</v>
      </c>
      <c r="D254" s="843">
        <v>1</v>
      </c>
      <c r="E254" s="165"/>
      <c r="F254" s="843"/>
      <c r="G254" s="843"/>
      <c r="H254" s="15"/>
      <c r="I254" s="843"/>
      <c r="J254" s="119"/>
      <c r="K254" s="165"/>
      <c r="L254" s="583"/>
      <c r="M254" s="75">
        <f t="shared" si="233"/>
        <v>252</v>
      </c>
      <c r="N254" s="594" t="s">
        <v>24</v>
      </c>
      <c r="O254" s="583" t="str">
        <f t="shared" si="242"/>
        <v/>
      </c>
      <c r="P254" s="583" t="str">
        <f t="shared" si="243"/>
        <v/>
      </c>
      <c r="Q254" s="617" t="str">
        <f t="shared" si="244"/>
        <v/>
      </c>
      <c r="S254" s="99">
        <f>Цена!A254</f>
        <v>252</v>
      </c>
      <c r="T254" s="62" t="str">
        <f>Цена!C254</f>
        <v>Вита</v>
      </c>
      <c r="U254" s="97" t="str">
        <f>IF(Бланк!$B$8=T254,HLOOKUP(Бланк!$M$2,Цены[#All],S254,0),"")</f>
        <v/>
      </c>
      <c r="V254" s="32">
        <f t="shared" ref="V254" si="247">A254</f>
        <v>252</v>
      </c>
      <c r="W254" s="10" t="str">
        <f>T254</f>
        <v>Вита</v>
      </c>
      <c r="X254" s="97" t="str">
        <f>IF(Бланк!$B$24=W254,HLOOKUP(Бланк!$M$18,Цены[#All],V254,0),"")</f>
        <v/>
      </c>
      <c r="Z254" s="32">
        <f t="shared" ref="Z254" si="248">S254</f>
        <v>252</v>
      </c>
      <c r="AA254" s="10" t="str">
        <f t="shared" ref="AA254" si="249">T254</f>
        <v>Вита</v>
      </c>
      <c r="AB254" s="97" t="str">
        <f>IF(Бланк!$B$40=AA254,HLOOKUP(Бланк!$M$34,Цены[#All],Z254,0),"")</f>
        <v/>
      </c>
    </row>
    <row r="255" spans="1:28" s="39" customFormat="1" ht="15.75">
      <c r="A255" s="39">
        <f t="shared" si="245"/>
        <v>253</v>
      </c>
      <c r="B255" s="117"/>
      <c r="C255" s="228" t="s">
        <v>497</v>
      </c>
      <c r="D255" s="300">
        <v>21</v>
      </c>
      <c r="E255" s="421">
        <v>15</v>
      </c>
      <c r="F255" s="300">
        <v>12</v>
      </c>
      <c r="G255" s="843">
        <f>Цены[[#This Row],[О_0]]</f>
        <v>21</v>
      </c>
      <c r="H255" s="15">
        <f>Цены[[#This Row],[О_1]]</f>
        <v>15</v>
      </c>
      <c r="I255" s="843">
        <f>Цены[[#This Row],[О_2]]</f>
        <v>12</v>
      </c>
      <c r="J255" s="119">
        <f>Цены[[#This Row],[М_2]]</f>
        <v>12</v>
      </c>
      <c r="K255" s="165"/>
      <c r="L255" s="75"/>
      <c r="M255" s="75">
        <f t="shared" si="233"/>
        <v>253</v>
      </c>
      <c r="N255" s="594" t="s">
        <v>24</v>
      </c>
      <c r="O255" s="583" t="str">
        <f t="shared" si="242"/>
        <v/>
      </c>
      <c r="P255" s="583" t="str">
        <f t="shared" si="243"/>
        <v/>
      </c>
      <c r="Q255" s="617" t="str">
        <f t="shared" si="244"/>
        <v/>
      </c>
      <c r="S255" s="99">
        <f>Цена!A255</f>
        <v>253</v>
      </c>
      <c r="T255" s="62" t="str">
        <f>Цена!C255</f>
        <v>Crit_развёр.</v>
      </c>
      <c r="U255" s="97" t="str">
        <f>IF(Бланк!$B$8=T255,HLOOKUP(Бланк!$M$2,Цены[#All],S255,0),"")</f>
        <v/>
      </c>
      <c r="V255" s="32">
        <f t="shared" si="181"/>
        <v>253</v>
      </c>
      <c r="W255" s="10" t="str">
        <f t="shared" si="211"/>
        <v>Crit_развёр.</v>
      </c>
      <c r="X255" s="97" t="str">
        <f>IF(Бланк!$B$24=W255,HLOOKUP(Бланк!$M$18,Цены[#All],V255,0),"")</f>
        <v/>
      </c>
      <c r="Z255" s="32">
        <f t="shared" si="141"/>
        <v>253</v>
      </c>
      <c r="AA255" s="10" t="str">
        <f t="shared" si="212"/>
        <v>Crit_развёр.</v>
      </c>
      <c r="AB255" s="97" t="str">
        <f>IF(Бланк!$B$40=AA255,HLOOKUP(Бланк!$M$34,Цены[#All],Z255,0),"")</f>
        <v/>
      </c>
    </row>
    <row r="256" spans="1:28" ht="15.75">
      <c r="A256" s="39">
        <f t="shared" si="245"/>
        <v>254</v>
      </c>
      <c r="B256" s="117"/>
      <c r="C256" s="228" t="s">
        <v>42</v>
      </c>
      <c r="D256" s="300">
        <v>20</v>
      </c>
      <c r="E256" s="421">
        <v>12</v>
      </c>
      <c r="F256" s="300">
        <v>9</v>
      </c>
      <c r="G256" s="843">
        <f>Цены[[#This Row],[О_0]]</f>
        <v>20</v>
      </c>
      <c r="H256" s="15">
        <f>Цены[[#This Row],[О_1]]</f>
        <v>12</v>
      </c>
      <c r="I256" s="843">
        <f>Цены[[#This Row],[О_2]]</f>
        <v>9</v>
      </c>
      <c r="J256" s="119">
        <f>Цены[[#This Row],[М_2]]</f>
        <v>9</v>
      </c>
      <c r="K256" s="165"/>
      <c r="L256" s="75"/>
      <c r="M256" s="75">
        <f t="shared" si="233"/>
        <v>254</v>
      </c>
      <c r="N256" s="594" t="s">
        <v>24</v>
      </c>
      <c r="O256" s="583" t="str">
        <f t="shared" si="242"/>
        <v/>
      </c>
      <c r="P256" s="583" t="str">
        <f t="shared" si="243"/>
        <v/>
      </c>
      <c r="Q256" s="617" t="str">
        <f t="shared" si="244"/>
        <v/>
      </c>
      <c r="S256" s="99">
        <f>Цена!A256</f>
        <v>254</v>
      </c>
      <c r="T256" s="62" t="str">
        <f>Цена!C256</f>
        <v>Pava</v>
      </c>
      <c r="U256" s="97" t="str">
        <f>IF(Бланк!$B$8=T256,HLOOKUP(Бланк!$M$2,Цены[#All],S256,0),"")</f>
        <v/>
      </c>
      <c r="V256" s="32">
        <f t="shared" si="181"/>
        <v>254</v>
      </c>
      <c r="W256" s="10" t="str">
        <f t="shared" si="211"/>
        <v>Pava</v>
      </c>
      <c r="X256" s="97" t="str">
        <f>IF(Бланк!$B$24=W256,HLOOKUP(Бланк!$M$18,Цены[#All],V256,0),"")</f>
        <v/>
      </c>
      <c r="Z256" s="32">
        <f t="shared" si="141"/>
        <v>254</v>
      </c>
      <c r="AA256" s="10" t="str">
        <f t="shared" si="212"/>
        <v>Pava</v>
      </c>
      <c r="AB256" s="97" t="str">
        <f>IF(Бланк!$B$40=AA256,HLOOKUP(Бланк!$M$34,Цены[#All],Z256,0),"")</f>
        <v/>
      </c>
    </row>
    <row r="257" spans="1:28" s="426" customFormat="1" ht="15.75">
      <c r="A257" s="39">
        <f t="shared" si="245"/>
        <v>255</v>
      </c>
      <c r="B257" s="424"/>
      <c r="C257" s="419" t="s">
        <v>1061</v>
      </c>
      <c r="D257" s="380"/>
      <c r="E257" s="425"/>
      <c r="F257" s="15" t="s">
        <v>1075</v>
      </c>
      <c r="G257" s="380"/>
      <c r="H257" s="380"/>
      <c r="I257" s="15" t="s">
        <v>1075</v>
      </c>
      <c r="J257" s="119" t="s">
        <v>1075</v>
      </c>
      <c r="K257" s="425"/>
      <c r="L257" s="585"/>
      <c r="M257" s="587">
        <f t="shared" si="233"/>
        <v>255</v>
      </c>
      <c r="N257" s="597" t="s">
        <v>24</v>
      </c>
      <c r="O257" s="589" t="str">
        <f t="shared" si="242"/>
        <v/>
      </c>
      <c r="P257" s="589" t="str">
        <f t="shared" si="243"/>
        <v/>
      </c>
      <c r="Q257" s="814" t="str">
        <f t="shared" si="244"/>
        <v/>
      </c>
      <c r="S257" s="534">
        <f>Цена!A257</f>
        <v>255</v>
      </c>
      <c r="T257" s="427" t="str">
        <f>Цена!C257</f>
        <v>AVERS_HP_72.1303</v>
      </c>
      <c r="U257" s="423" t="str">
        <f>IF(Бланк!$B$8=T257,HLOOKUP(Бланк!$M$2,Цены[#All],S257,0),"")</f>
        <v/>
      </c>
      <c r="V257" s="534">
        <f t="shared" si="181"/>
        <v>255</v>
      </c>
      <c r="W257" s="427" t="str">
        <f t="shared" ref="W257" si="250">T257</f>
        <v>AVERS_HP_72.1303</v>
      </c>
      <c r="X257" s="423" t="str">
        <f>IF(Бланк!$B$24=W257,HLOOKUP(Бланк!$M$18,Цены[#All],V257,0),"")</f>
        <v/>
      </c>
      <c r="Z257" s="534">
        <f t="shared" ref="Z257" si="251">S257</f>
        <v>255</v>
      </c>
      <c r="AA257" s="427" t="str">
        <f t="shared" ref="AA257" si="252">T257</f>
        <v>AVERS_HP_72.1303</v>
      </c>
      <c r="AB257" s="423" t="str">
        <f>IF(Бланк!$B$40=AA257,HLOOKUP(Бланк!$M$34,Цены[#All],Z257,0),"")</f>
        <v/>
      </c>
    </row>
    <row r="258" spans="1:28" s="426" customFormat="1" ht="15.75">
      <c r="A258" s="39">
        <f t="shared" si="245"/>
        <v>256</v>
      </c>
      <c r="B258" s="424"/>
      <c r="C258" s="419" t="s">
        <v>1130</v>
      </c>
      <c r="D258" s="580">
        <v>11</v>
      </c>
      <c r="E258" s="425">
        <v>5</v>
      </c>
      <c r="F258" s="580">
        <f>Цены[[#This Row],[О_1]]-$E$250</f>
        <v>2</v>
      </c>
      <c r="G258" s="580">
        <f>Цены[[#This Row],[О_0]]</f>
        <v>11</v>
      </c>
      <c r="H258" s="580">
        <f>Цены[[#This Row],[О_1]]</f>
        <v>5</v>
      </c>
      <c r="I258" s="580">
        <f>Цены[[#This Row],[О_2]]</f>
        <v>2</v>
      </c>
      <c r="J258" s="119">
        <f>Цены[[#This Row],[О_2]]</f>
        <v>2</v>
      </c>
      <c r="K258" s="425">
        <f>Цены[[#This Row],[О_0]]</f>
        <v>11</v>
      </c>
      <c r="L258" s="585"/>
      <c r="M258" s="75">
        <f t="shared" si="233"/>
        <v>256</v>
      </c>
      <c r="N258" s="594" t="s">
        <v>24</v>
      </c>
      <c r="O258" s="583" t="str">
        <f t="shared" si="242"/>
        <v/>
      </c>
      <c r="P258" s="583" t="str">
        <f t="shared" si="243"/>
        <v/>
      </c>
      <c r="Q258" s="617" t="str">
        <f t="shared" si="244"/>
        <v/>
      </c>
      <c r="S258" s="573">
        <f>Цена!A258</f>
        <v>256</v>
      </c>
      <c r="T258" s="574" t="str">
        <f>Цена!C258</f>
        <v>Морион BLACK круг</v>
      </c>
      <c r="U258" s="575" t="str">
        <f>IF(Бланк!$B$8=T258,HLOOKUP(Бланк!$M$2,Цены[#All],S258,0),"")</f>
        <v/>
      </c>
      <c r="V258" s="573">
        <f t="shared" ref="V258:V259" si="253">A258</f>
        <v>256</v>
      </c>
      <c r="W258" s="574" t="str">
        <f t="shared" ref="W258:W259" si="254">T258</f>
        <v>Морион BLACK круг</v>
      </c>
      <c r="X258" s="575" t="str">
        <f>IF(Бланк!$B$24=W258,HLOOKUP(Бланк!$M$18,Цены[#All],V258,0),"")</f>
        <v/>
      </c>
      <c r="Y258" s="569"/>
      <c r="Z258" s="573">
        <f t="shared" ref="Z258:Z259" si="255">S258</f>
        <v>256</v>
      </c>
      <c r="AA258" s="574" t="str">
        <f t="shared" ref="AA258:AA259" si="256">T258</f>
        <v>Морион BLACK круг</v>
      </c>
      <c r="AB258" s="575" t="str">
        <f>IF(Бланк!$B$40=AA258,HLOOKUP(Бланк!$M$34,Цены[#All],Z258,0),"")</f>
        <v/>
      </c>
    </row>
    <row r="259" spans="1:28" s="426" customFormat="1" ht="15.75">
      <c r="A259" s="39">
        <f t="shared" si="245"/>
        <v>257</v>
      </c>
      <c r="B259" s="424"/>
      <c r="C259" s="419" t="s">
        <v>1242</v>
      </c>
      <c r="D259" s="580">
        <v>13</v>
      </c>
      <c r="E259" s="425">
        <v>7</v>
      </c>
      <c r="F259" s="580">
        <f>Цены[[#This Row],[О_1]]-$E$250</f>
        <v>4</v>
      </c>
      <c r="G259" s="580">
        <f>Цены[[#This Row],[О_0]]</f>
        <v>13</v>
      </c>
      <c r="H259" s="580">
        <f>Цены[[#This Row],[О_1]]</f>
        <v>7</v>
      </c>
      <c r="I259" s="580">
        <f>Цены[[#This Row],[О_2]]</f>
        <v>4</v>
      </c>
      <c r="J259" s="119">
        <f>Цены[[#This Row],[О_2]]</f>
        <v>4</v>
      </c>
      <c r="K259" s="425">
        <f>Цены[[#This Row],[О_0]]</f>
        <v>13</v>
      </c>
      <c r="L259" s="585"/>
      <c r="M259" s="75">
        <f t="shared" si="233"/>
        <v>257</v>
      </c>
      <c r="N259" s="594" t="s">
        <v>24</v>
      </c>
      <c r="O259" s="583" t="str">
        <f t="shared" si="242"/>
        <v/>
      </c>
      <c r="P259" s="583" t="str">
        <f t="shared" si="243"/>
        <v/>
      </c>
      <c r="Q259" s="617" t="str">
        <f t="shared" si="244"/>
        <v/>
      </c>
      <c r="S259" s="573">
        <f>Цена!A259</f>
        <v>257</v>
      </c>
      <c r="T259" s="574" t="str">
        <f>Цена!C259</f>
        <v>Vela Bastion кв.</v>
      </c>
      <c r="U259" s="575" t="str">
        <f>IF(Бланк!$B$8=T259,HLOOKUP(Бланк!$M$2,Цены[#All],S259,0),"")</f>
        <v/>
      </c>
      <c r="V259" s="573">
        <f t="shared" si="253"/>
        <v>257</v>
      </c>
      <c r="W259" s="574" t="str">
        <f t="shared" si="254"/>
        <v>Vela Bastion кв.</v>
      </c>
      <c r="X259" s="575" t="str">
        <f>IF(Бланк!$B$24=W259,HLOOKUP(Бланк!$M$18,Цены[#All],V259,0),"")</f>
        <v/>
      </c>
      <c r="Y259" s="569"/>
      <c r="Z259" s="573">
        <f t="shared" si="255"/>
        <v>257</v>
      </c>
      <c r="AA259" s="574" t="str">
        <f t="shared" si="256"/>
        <v>Vela Bastion кв.</v>
      </c>
      <c r="AB259" s="575" t="str">
        <f>IF(Бланк!$B$40=AA259,HLOOKUP(Бланк!$M$34,Цены[#All],Z259,0),"")</f>
        <v/>
      </c>
    </row>
    <row r="260" spans="1:28" s="426" customFormat="1" ht="15.75">
      <c r="A260" s="39">
        <f t="shared" si="245"/>
        <v>258</v>
      </c>
      <c r="B260" s="424"/>
      <c r="C260" s="419" t="s">
        <v>1216</v>
      </c>
      <c r="D260" s="580">
        <v>15</v>
      </c>
      <c r="E260" s="425">
        <v>9</v>
      </c>
      <c r="F260" s="580">
        <f>Цены[[#This Row],[О_1]]-$E$250</f>
        <v>6</v>
      </c>
      <c r="G260" s="843">
        <f>Цены[[#This Row],[О_0]]</f>
        <v>15</v>
      </c>
      <c r="H260" s="580">
        <f>Цены[[#This Row],[О_1]]</f>
        <v>9</v>
      </c>
      <c r="I260" s="580">
        <f>Цены[[#This Row],[О_2]]</f>
        <v>6</v>
      </c>
      <c r="J260" s="119">
        <f>Цены[[#This Row],[М_2]]</f>
        <v>6</v>
      </c>
      <c r="K260" s="425">
        <f>Цены[[#This Row],[О_0]]</f>
        <v>15</v>
      </c>
      <c r="L260" s="585"/>
      <c r="M260" s="75">
        <f t="shared" si="233"/>
        <v>258</v>
      </c>
      <c r="N260" s="594" t="s">
        <v>24</v>
      </c>
      <c r="O260" s="583" t="str">
        <f t="shared" ref="O260:O261" si="257">IF(U260=$V$1,"Ошибка-1","")</f>
        <v/>
      </c>
      <c r="P260" s="583" t="str">
        <f t="shared" ref="P260:P261" si="258">IF(X260=$V$1,"Ошибка-2","")</f>
        <v/>
      </c>
      <c r="Q260" s="617" t="str">
        <f t="shared" ref="Q260:Q261" si="259">IF(AB260=$V$1,"Ошибка-3","")</f>
        <v/>
      </c>
      <c r="S260" s="573">
        <f>Цена!A260</f>
        <v>258</v>
      </c>
      <c r="T260" s="574" t="str">
        <f>Цена!C260</f>
        <v>RedLine_квадрат</v>
      </c>
      <c r="U260" s="575" t="str">
        <f>IF(Бланк!$B$8=T260,HLOOKUP(Бланк!$M$2,Цены[#All],S260,0),"")</f>
        <v/>
      </c>
      <c r="V260" s="573">
        <f t="shared" ref="V260:V261" si="260">A260</f>
        <v>258</v>
      </c>
      <c r="W260" s="574" t="str">
        <f t="shared" ref="W260:W261" si="261">T260</f>
        <v>RedLine_квадрат</v>
      </c>
      <c r="X260" s="575" t="str">
        <f>IF(Бланк!$B$24=W260,HLOOKUP(Бланк!$M$18,Цены[#All],V260,0),"")</f>
        <v/>
      </c>
      <c r="Y260" s="569"/>
      <c r="Z260" s="573">
        <f t="shared" ref="Z260:Z261" si="262">S260</f>
        <v>258</v>
      </c>
      <c r="AA260" s="574" t="str">
        <f t="shared" ref="AA260:AA261" si="263">T260</f>
        <v>RedLine_квадрат</v>
      </c>
      <c r="AB260" s="575" t="str">
        <f>IF(Бланк!$B$40=AA260,HLOOKUP(Бланк!$M$34,Цены[#All],Z260,0),"")</f>
        <v/>
      </c>
    </row>
    <row r="261" spans="1:28" s="426" customFormat="1" ht="15.75">
      <c r="A261" s="39">
        <f t="shared" si="245"/>
        <v>259</v>
      </c>
      <c r="B261" s="424"/>
      <c r="C261" s="419" t="s">
        <v>1217</v>
      </c>
      <c r="D261" s="580">
        <f>Цены[[#This Row],[О_1]]+$D$250</f>
        <v>26</v>
      </c>
      <c r="E261" s="425">
        <v>17</v>
      </c>
      <c r="F261" s="580">
        <f>Цены[[#This Row],[О_1]]-$E$250</f>
        <v>14</v>
      </c>
      <c r="G261" s="843">
        <f>Цены[[#This Row],[О_0]]</f>
        <v>26</v>
      </c>
      <c r="H261" s="580">
        <f>Цены[[#This Row],[О_1]]</f>
        <v>17</v>
      </c>
      <c r="I261" s="580">
        <f>Цены[[#This Row],[О_2]]</f>
        <v>14</v>
      </c>
      <c r="J261" s="119">
        <f>Цены[[#This Row],[М_2]]</f>
        <v>14</v>
      </c>
      <c r="K261" s="425">
        <f>Цены[[#This Row],[О_0]]</f>
        <v>26</v>
      </c>
      <c r="L261" s="585"/>
      <c r="M261" s="75">
        <f t="shared" si="233"/>
        <v>259</v>
      </c>
      <c r="N261" s="594" t="s">
        <v>24</v>
      </c>
      <c r="O261" s="583" t="str">
        <f t="shared" si="257"/>
        <v/>
      </c>
      <c r="P261" s="583" t="str">
        <f t="shared" si="258"/>
        <v/>
      </c>
      <c r="Q261" s="617" t="str">
        <f t="shared" si="259"/>
        <v/>
      </c>
      <c r="S261" s="573">
        <f>Цена!A261</f>
        <v>259</v>
      </c>
      <c r="T261" s="574" t="str">
        <f>Цена!C261</f>
        <v>FLOW_квадрат</v>
      </c>
      <c r="U261" s="575" t="str">
        <f>IF(Бланк!$B$8=T261,HLOOKUP(Бланк!$M$2,Цены[#All],S261,0),"")</f>
        <v/>
      </c>
      <c r="V261" s="573">
        <f t="shared" si="260"/>
        <v>259</v>
      </c>
      <c r="W261" s="574" t="str">
        <f t="shared" si="261"/>
        <v>FLOW_квадрат</v>
      </c>
      <c r="X261" s="575" t="str">
        <f>IF(Бланк!$B$24=W261,HLOOKUP(Бланк!$M$18,Цены[#All],V261,0),"")</f>
        <v/>
      </c>
      <c r="Y261" s="569"/>
      <c r="Z261" s="573">
        <f t="shared" si="262"/>
        <v>259</v>
      </c>
      <c r="AA261" s="574" t="str">
        <f t="shared" si="263"/>
        <v>FLOW_квадрат</v>
      </c>
      <c r="AB261" s="575" t="str">
        <f>IF(Бланк!$B$40=AA261,HLOOKUP(Бланк!$M$34,Цены[#All],Z261,0),"")</f>
        <v/>
      </c>
    </row>
    <row r="262" spans="1:28" s="426" customFormat="1" ht="15.75">
      <c r="A262" s="39">
        <f t="shared" si="245"/>
        <v>260</v>
      </c>
      <c r="B262" s="424"/>
      <c r="C262" s="419" t="s">
        <v>21</v>
      </c>
      <c r="D262" s="580"/>
      <c r="E262" s="425"/>
      <c r="F262" s="580"/>
      <c r="G262" s="843"/>
      <c r="H262" s="580"/>
      <c r="I262" s="580"/>
      <c r="J262" s="119"/>
      <c r="K262" s="425"/>
      <c r="L262" s="585"/>
      <c r="M262" s="75">
        <f t="shared" si="233"/>
        <v>260</v>
      </c>
      <c r="N262" s="594" t="s">
        <v>24</v>
      </c>
      <c r="O262" s="583" t="str">
        <f t="shared" ref="O262:O264" si="264">IF(U262=$V$1,"Ошибка-1","")</f>
        <v/>
      </c>
      <c r="P262" s="583" t="str">
        <f t="shared" ref="P262:P264" si="265">IF(X262=$V$1,"Ошибка-2","")</f>
        <v/>
      </c>
      <c r="Q262" s="617" t="str">
        <f t="shared" ref="Q262:Q264" si="266">IF(AB262=$V$1,"Ошибка-3","")</f>
        <v/>
      </c>
      <c r="S262" s="573">
        <f>Цена!A262</f>
        <v>260</v>
      </c>
      <c r="T262" s="574" t="str">
        <f>Цена!C262</f>
        <v>нет</v>
      </c>
      <c r="U262" s="575" t="str">
        <f>IF(Бланк!$B$8=T262,HLOOKUP(Бланк!$M$2,Цены[#All],S262,0),"")</f>
        <v/>
      </c>
      <c r="V262" s="573">
        <f t="shared" ref="V262:V264" si="267">A262</f>
        <v>260</v>
      </c>
      <c r="W262" s="574" t="str">
        <f t="shared" ref="W262:W264" si="268">T262</f>
        <v>нет</v>
      </c>
      <c r="X262" s="575" t="str">
        <f>IF(Бланк!$B$24=W262,HLOOKUP(Бланк!$M$18,Цены[#All],V262,0),"")</f>
        <v/>
      </c>
      <c r="Y262" s="569"/>
      <c r="Z262" s="573">
        <f t="shared" ref="Z262:Z264" si="269">S262</f>
        <v>260</v>
      </c>
      <c r="AA262" s="574" t="str">
        <f t="shared" ref="AA262:AA264" si="270">T262</f>
        <v>нет</v>
      </c>
      <c r="AB262" s="575" t="str">
        <f>IF(Бланк!$B$40=AA262,HLOOKUP(Бланк!$M$34,Цены[#All],Z262,0),"")</f>
        <v/>
      </c>
    </row>
    <row r="263" spans="1:28" s="426" customFormat="1" ht="15.75">
      <c r="A263" s="39">
        <f t="shared" si="245"/>
        <v>261</v>
      </c>
      <c r="B263" s="424"/>
      <c r="C263" s="419" t="s">
        <v>1625</v>
      </c>
      <c r="D263" s="580">
        <f>Цены[[#This Row],[О_1]]+$D$250</f>
        <v>14</v>
      </c>
      <c r="E263" s="425">
        <v>5</v>
      </c>
      <c r="F263" s="580">
        <f>Цены[[#This Row],[О_1]]-$E$250</f>
        <v>2</v>
      </c>
      <c r="G263" s="843">
        <f>Цены[[#This Row],[О_0]]</f>
        <v>14</v>
      </c>
      <c r="H263" s="580">
        <f>Цены[[#This Row],[О_1]]</f>
        <v>5</v>
      </c>
      <c r="I263" s="580">
        <f>Цены[[#This Row],[О_2]]</f>
        <v>2</v>
      </c>
      <c r="J263" s="119">
        <f>Цены[[#This Row],[М_2]]</f>
        <v>2</v>
      </c>
      <c r="K263" s="425">
        <f>Цены[[#This Row],[О_0]]</f>
        <v>14</v>
      </c>
      <c r="L263" s="585"/>
      <c r="M263" s="75">
        <f t="shared" si="233"/>
        <v>261</v>
      </c>
      <c r="N263" s="594" t="s">
        <v>24</v>
      </c>
      <c r="O263" s="583" t="str">
        <f t="shared" si="264"/>
        <v/>
      </c>
      <c r="P263" s="583" t="str">
        <f t="shared" si="265"/>
        <v/>
      </c>
      <c r="Q263" s="617" t="str">
        <f t="shared" si="266"/>
        <v/>
      </c>
      <c r="S263" s="573">
        <f>Цена!A263</f>
        <v>261</v>
      </c>
      <c r="T263" s="574" t="str">
        <f>Цена!C263</f>
        <v>ТOR</v>
      </c>
      <c r="U263" s="575" t="str">
        <f>IF(Бланк!$B$8=T263,HLOOKUP(Бланк!$M$2,Цены[#All],S263,0),"")</f>
        <v/>
      </c>
      <c r="V263" s="573">
        <f t="shared" si="267"/>
        <v>261</v>
      </c>
      <c r="W263" s="574" t="str">
        <f t="shared" si="268"/>
        <v>ТOR</v>
      </c>
      <c r="X263" s="575" t="str">
        <f>IF(Бланк!$B$24=W263,HLOOKUP(Бланк!$M$18,Цены[#All],V263,0),"")</f>
        <v/>
      </c>
      <c r="Y263" s="569"/>
      <c r="Z263" s="573">
        <f t="shared" si="269"/>
        <v>261</v>
      </c>
      <c r="AA263" s="574" t="str">
        <f t="shared" si="270"/>
        <v>ТOR</v>
      </c>
      <c r="AB263" s="575" t="str">
        <f>IF(Бланк!$B$40=AA263,HLOOKUP(Бланк!$M$34,Цены[#All],Z263,0),"")</f>
        <v/>
      </c>
    </row>
    <row r="264" spans="1:28" s="569" customFormat="1" ht="15.75">
      <c r="A264" s="39">
        <f t="shared" si="245"/>
        <v>262</v>
      </c>
      <c r="B264" s="570"/>
      <c r="C264" s="419" t="s">
        <v>1666</v>
      </c>
      <c r="D264" s="571">
        <v>34</v>
      </c>
      <c r="E264" s="572">
        <f>Цены[[#This Row],[О_0]]+E248</f>
        <v>29</v>
      </c>
      <c r="F264" s="571">
        <f>Цены[[#This Row],[О_1]]</f>
        <v>29</v>
      </c>
      <c r="G264" s="571">
        <f>Цены[[#This Row],[О_0]]</f>
        <v>34</v>
      </c>
      <c r="H264" s="380">
        <f>E264</f>
        <v>29</v>
      </c>
      <c r="I264" s="571">
        <f>F264</f>
        <v>29</v>
      </c>
      <c r="J264" s="420">
        <f>I264</f>
        <v>29</v>
      </c>
      <c r="K264" s="420">
        <f>J264</f>
        <v>29</v>
      </c>
      <c r="L264" s="590"/>
      <c r="M264" s="815">
        <f t="shared" si="233"/>
        <v>262</v>
      </c>
      <c r="N264" s="817" t="s">
        <v>24</v>
      </c>
      <c r="O264" s="590" t="str">
        <f t="shared" si="264"/>
        <v/>
      </c>
      <c r="P264" s="590" t="str">
        <f t="shared" si="265"/>
        <v/>
      </c>
      <c r="Q264" s="816" t="str">
        <f t="shared" si="266"/>
        <v/>
      </c>
      <c r="S264" s="573">
        <f>Цена!A264</f>
        <v>262</v>
      </c>
      <c r="T264" s="574" t="str">
        <f>Цена!C264</f>
        <v>роз_Arm_SQUID</v>
      </c>
      <c r="U264" s="575" t="str">
        <f>IF(Бланк!$B$8=T264,HLOOKUP(Бланк!$M$2,Цены[#All],S264,0),"")</f>
        <v/>
      </c>
      <c r="V264" s="573">
        <f t="shared" si="267"/>
        <v>262</v>
      </c>
      <c r="W264" s="574" t="str">
        <f t="shared" si="268"/>
        <v>роз_Arm_SQUID</v>
      </c>
      <c r="X264" s="575" t="str">
        <f>IF(Бланк!$B$24=W264,HLOOKUP(Бланк!$M$18,Цены[#All],V264,0),"")</f>
        <v/>
      </c>
      <c r="Z264" s="573">
        <f t="shared" si="269"/>
        <v>262</v>
      </c>
      <c r="AA264" s="574" t="str">
        <f t="shared" si="270"/>
        <v>роз_Arm_SQUID</v>
      </c>
      <c r="AB264" s="575" t="str">
        <f>IF(Бланк!$B$40=AA264,HLOOKUP(Бланк!$M$34,Цены[#All],Z264,0),"")</f>
        <v/>
      </c>
    </row>
    <row r="265" spans="1:28" ht="15.75">
      <c r="A265" s="39">
        <f t="shared" si="245"/>
        <v>263</v>
      </c>
      <c r="B265" s="117"/>
      <c r="C265" s="228" t="s">
        <v>1121</v>
      </c>
      <c r="D265" s="300">
        <v>17</v>
      </c>
      <c r="E265" s="421">
        <v>15</v>
      </c>
      <c r="F265" s="300">
        <v>12</v>
      </c>
      <c r="G265" s="843">
        <f>Цены[[#This Row],[О_0]]</f>
        <v>17</v>
      </c>
      <c r="H265" s="15">
        <f>Цены[[#This Row],[О_1]]</f>
        <v>15</v>
      </c>
      <c r="I265" s="843">
        <f>Цены[[#This Row],[О_2]]</f>
        <v>12</v>
      </c>
      <c r="J265" s="119">
        <f>Цены[[#This Row],[М_2]]</f>
        <v>12</v>
      </c>
      <c r="K265" s="165"/>
      <c r="L265" s="75"/>
      <c r="M265" s="75">
        <f t="shared" si="233"/>
        <v>263</v>
      </c>
      <c r="N265" s="594" t="s">
        <v>24</v>
      </c>
      <c r="O265" s="583" t="str">
        <f t="shared" si="242"/>
        <v/>
      </c>
      <c r="P265" s="583" t="str">
        <f t="shared" si="243"/>
        <v/>
      </c>
      <c r="Q265" s="617" t="str">
        <f t="shared" si="244"/>
        <v/>
      </c>
      <c r="S265" s="672">
        <f>Цена!A265</f>
        <v>263</v>
      </c>
      <c r="T265" s="62" t="str">
        <f>Цена!C265</f>
        <v>Скоба 300 мм</v>
      </c>
      <c r="U265" s="97" t="str">
        <f>IF(Бланк!M2="Индивид.","",IF(AND(Бланк!C8="Скоба_0901",Бланк!O7="Фуаро 900"),V1,IF(AND(OR(Бланк!$S$2="3-х конт.",Бланк!$G$6="терморазрыв"),Бланк!$C$8=T265),$V$1,IF(Бланк!$B$8=T265,HLOOKUP(Бланк!$M$2,Цены[#All],S265,0),""))))</f>
        <v/>
      </c>
      <c r="V265" s="32">
        <f t="shared" si="181"/>
        <v>263</v>
      </c>
      <c r="W265" s="10" t="str">
        <f t="shared" si="211"/>
        <v>Скоба 300 мм</v>
      </c>
      <c r="X265" s="97" t="str">
        <f>IF(AND(Бланк!C24="Скоба_0901",Бланк!O23="Фуаро 900"),$Z$1,IF(AND(OR(Бланк!$S$18="3-х конт.",Бланк!$G$22="терморазрыв"),Бланк!$C$24=T265),$V$1,IF(Бланк!$B$24=W265,HLOOKUP(Бланк!$M$18,Цены[#All],V265,0),"")))</f>
        <v/>
      </c>
      <c r="Z265" s="32">
        <f t="shared" si="141"/>
        <v>263</v>
      </c>
      <c r="AA265" s="10" t="str">
        <f t="shared" si="212"/>
        <v>Скоба 300 мм</v>
      </c>
      <c r="AB265" s="97" t="str">
        <f>IF(AND(Бланк!C40="Скоба_0901",Бланк!O39="Фуаро 900"),$Z$1,IF(AND(OR(Бланк!$S$34="3-х конт.",Бланк!$G$38="терморазрыв"),Бланк!$C$40=T265),$V$1,IF(Бланк!$B$40=AA265,HLOOKUP(Бланк!$M$34,Цены[#All],Z265,0),"")))</f>
        <v/>
      </c>
    </row>
    <row r="266" spans="1:28" s="39" customFormat="1" ht="15.75">
      <c r="A266" s="39">
        <f t="shared" si="245"/>
        <v>264</v>
      </c>
      <c r="B266" s="117"/>
      <c r="C266" s="228" t="s">
        <v>1122</v>
      </c>
      <c r="D266" s="300">
        <v>51</v>
      </c>
      <c r="E266" s="421">
        <v>49</v>
      </c>
      <c r="F266" s="300">
        <v>46</v>
      </c>
      <c r="G266" s="843">
        <f>Цены[[#This Row],[О_0]]</f>
        <v>51</v>
      </c>
      <c r="H266" s="15">
        <f>Цены[[#This Row],[О_1]]</f>
        <v>49</v>
      </c>
      <c r="I266" s="843">
        <f>Цены[[#This Row],[О_2]]</f>
        <v>46</v>
      </c>
      <c r="J266" s="119">
        <f>Цены[[#This Row],[М_2]]</f>
        <v>46</v>
      </c>
      <c r="K266" s="165"/>
      <c r="L266" s="75"/>
      <c r="M266" s="75">
        <f t="shared" si="233"/>
        <v>264</v>
      </c>
      <c r="N266" s="594" t="s">
        <v>24</v>
      </c>
      <c r="O266" s="583" t="str">
        <f t="shared" si="242"/>
        <v/>
      </c>
      <c r="P266" s="583" t="str">
        <f t="shared" si="243"/>
        <v/>
      </c>
      <c r="Q266" s="617" t="str">
        <f t="shared" si="244"/>
        <v/>
      </c>
      <c r="S266" s="99">
        <f>Цена!A266</f>
        <v>264</v>
      </c>
      <c r="T266" s="62" t="str">
        <f>Цена!C266</f>
        <v>Скоба 1200мм</v>
      </c>
      <c r="U266" s="97" t="str">
        <f>IF(Бланк!M3="Индивид.","",IF(AND(Бланк!C9="Скоба_0901",Бланк!O8="Фуаро 900"),V2,IF(AND(OR(Бланк!$S$2="3-х конт.",Бланк!$G$6="терморазрыв"),Бланк!$C$8=T266),$V$1,IF(Бланк!$B$8=T266,HLOOKUP(Бланк!$M$2,Цены[#All],S266,0),""))))</f>
        <v/>
      </c>
      <c r="V266" s="32">
        <f t="shared" ref="V266" si="271">A266</f>
        <v>264</v>
      </c>
      <c r="W266" s="10" t="str">
        <f t="shared" ref="W266" si="272">T266</f>
        <v>Скоба 1200мм</v>
      </c>
      <c r="X266" s="97" t="str">
        <f>IF(AND(Бланк!C25="Скоба_0901",Бланк!O24="Фуаро 900"),$Z$1,IF(AND(OR(Бланк!$S$18="3-х конт.",Бланк!$G$22="терморазрыв"),Бланк!$C$24=T266),$V$1,IF(Бланк!$B$24=W266,HLOOKUP(Бланк!$M$18,Цены[#All],V266,0),"")))</f>
        <v/>
      </c>
      <c r="Z266" s="32">
        <f t="shared" ref="Z266" si="273">S266</f>
        <v>264</v>
      </c>
      <c r="AA266" s="10" t="str">
        <f t="shared" ref="AA266" si="274">T266</f>
        <v>Скоба 1200мм</v>
      </c>
      <c r="AB266" s="97" t="str">
        <f>IF(AND(Бланк!C41="Скоба_0901",Бланк!O40="Фуаро 900"),$Z$1,IF(AND(OR(Бланк!$S$34="3-х конт.",Бланк!$G$38="терморазрыв"),Бланк!$C$40=T266),$V$1,IF(Бланк!$B$40=AA266,HLOOKUP(Бланк!$M$34,Цены[#All],Z266,0),"")))</f>
        <v/>
      </c>
    </row>
    <row r="267" spans="1:28" s="39" customFormat="1" ht="15.75">
      <c r="A267" s="39">
        <f t="shared" si="245"/>
        <v>265</v>
      </c>
      <c r="B267" s="117"/>
      <c r="C267" s="228" t="s">
        <v>43</v>
      </c>
      <c r="D267" s="843">
        <v>2</v>
      </c>
      <c r="E267" s="165">
        <v>2</v>
      </c>
      <c r="F267" s="843"/>
      <c r="G267" s="843">
        <v>2</v>
      </c>
      <c r="H267" s="15">
        <v>2</v>
      </c>
      <c r="I267" s="843"/>
      <c r="J267" s="119"/>
      <c r="K267" s="165"/>
      <c r="L267" s="75"/>
      <c r="M267" s="75">
        <f t="shared" si="233"/>
        <v>265</v>
      </c>
      <c r="N267" s="594" t="s">
        <v>24</v>
      </c>
      <c r="O267" s="583" t="str">
        <f t="shared" si="242"/>
        <v/>
      </c>
      <c r="P267" s="583" t="str">
        <f t="shared" si="243"/>
        <v/>
      </c>
      <c r="Q267" s="617" t="str">
        <f t="shared" si="244"/>
        <v/>
      </c>
      <c r="S267" s="99">
        <f>Цена!A267</f>
        <v>265</v>
      </c>
      <c r="T267" s="62" t="str">
        <f>Цена!C267</f>
        <v>Apecs</v>
      </c>
      <c r="U267" s="97" t="str">
        <f>IF(Бланк!$B$8=T267,HLOOKUP(Бланк!$M$2,Цены[#All],S267,0),"")</f>
        <v/>
      </c>
      <c r="V267" s="32">
        <f t="shared" si="181"/>
        <v>265</v>
      </c>
      <c r="W267" s="10" t="str">
        <f t="shared" ref="W267:W276" si="275">T267</f>
        <v>Apecs</v>
      </c>
      <c r="X267" s="97" t="str">
        <f>IF(Бланк!$B$24=W267,HLOOKUP(Бланк!$M$18,Цены[#All],V267,0),"")</f>
        <v/>
      </c>
      <c r="Z267" s="32">
        <f t="shared" ref="Z267:AA283" si="276">S267</f>
        <v>265</v>
      </c>
      <c r="AA267" s="10" t="str">
        <f t="shared" si="276"/>
        <v>Apecs</v>
      </c>
      <c r="AB267" s="97" t="str">
        <f>IF(Бланк!$B$40=AA267,HLOOKUP(Бланк!$M$34,Цены[#All],Z267,0),"")</f>
        <v/>
      </c>
    </row>
    <row r="268" spans="1:28" s="39" customFormat="1" ht="15.75">
      <c r="A268" s="39">
        <f t="shared" si="245"/>
        <v>266</v>
      </c>
      <c r="B268" s="117"/>
      <c r="C268" s="228" t="s">
        <v>431</v>
      </c>
      <c r="D268" s="843">
        <v>2</v>
      </c>
      <c r="E268" s="165">
        <v>2</v>
      </c>
      <c r="F268" s="300">
        <v>-2</v>
      </c>
      <c r="G268" s="843">
        <v>2</v>
      </c>
      <c r="H268" s="15">
        <v>2</v>
      </c>
      <c r="I268" s="843">
        <f>Цены[[#This Row],[О_2]]</f>
        <v>-2</v>
      </c>
      <c r="J268" s="119">
        <f>Цены[[#This Row],[О_2]]</f>
        <v>-2</v>
      </c>
      <c r="K268" s="165"/>
      <c r="L268" s="583"/>
      <c r="M268" s="75">
        <f t="shared" si="233"/>
        <v>266</v>
      </c>
      <c r="N268" s="594" t="s">
        <v>24</v>
      </c>
      <c r="O268" s="583" t="str">
        <f t="shared" si="242"/>
        <v/>
      </c>
      <c r="P268" s="583" t="str">
        <f t="shared" si="243"/>
        <v/>
      </c>
      <c r="Q268" s="617" t="str">
        <f t="shared" si="244"/>
        <v/>
      </c>
      <c r="S268" s="99">
        <f>Цена!A268</f>
        <v>266</v>
      </c>
      <c r="T268" s="62" t="str">
        <f>Цена!C268</f>
        <v>Заказчика</v>
      </c>
      <c r="U268" s="97" t="str">
        <f>IF(Бланк!$B$8=T268,HLOOKUP(Бланк!$M$2,Цены[#All],S268,0),"")</f>
        <v/>
      </c>
      <c r="V268" s="32">
        <f t="shared" si="181"/>
        <v>266</v>
      </c>
      <c r="W268" s="10" t="str">
        <f>T268</f>
        <v>Заказчика</v>
      </c>
      <c r="X268" s="97" t="str">
        <f>IF(Бланк!$B$24=W268,HLOOKUP(Бланк!$M$18,Цены[#All],V268,0),"")</f>
        <v/>
      </c>
      <c r="Z268" s="32">
        <f>S268</f>
        <v>266</v>
      </c>
      <c r="AA268" s="10" t="str">
        <f>T268</f>
        <v>Заказчика</v>
      </c>
      <c r="AB268" s="97" t="str">
        <f>IF(Бланк!$B$40=AA268,HLOOKUP(Бланк!$M$34,Цены[#All],Z268,0),"")</f>
        <v/>
      </c>
    </row>
    <row r="269" spans="1:28" s="39" customFormat="1" ht="15.75">
      <c r="A269" s="39">
        <f t="shared" si="245"/>
        <v>267</v>
      </c>
      <c r="B269" s="117"/>
      <c r="C269" s="228" t="s">
        <v>524</v>
      </c>
      <c r="D269" s="843">
        <v>3</v>
      </c>
      <c r="E269" s="165">
        <v>-2</v>
      </c>
      <c r="F269" s="843" t="s">
        <v>1075</v>
      </c>
      <c r="G269" s="843">
        <v>3</v>
      </c>
      <c r="H269" s="15">
        <v>-2</v>
      </c>
      <c r="I269" s="843" t="s">
        <v>1075</v>
      </c>
      <c r="J269" s="119" t="s">
        <v>1075</v>
      </c>
      <c r="K269" s="165"/>
      <c r="L269" s="75"/>
      <c r="M269" s="75">
        <f t="shared" si="233"/>
        <v>267</v>
      </c>
      <c r="N269" s="594" t="str">
        <f>N268</f>
        <v>ручки</v>
      </c>
      <c r="O269" s="583" t="str">
        <f t="shared" si="242"/>
        <v/>
      </c>
      <c r="P269" s="583" t="str">
        <f t="shared" si="243"/>
        <v/>
      </c>
      <c r="Q269" s="617" t="str">
        <f t="shared" si="244"/>
        <v/>
      </c>
      <c r="S269" s="99">
        <f>Цена!A269</f>
        <v>267</v>
      </c>
      <c r="T269" s="62" t="str">
        <f>Цена!C269</f>
        <v>Грибок</v>
      </c>
      <c r="U269" s="97" t="str">
        <f>IF(AND(OR(Бланк!$S$2="3-х конт.",Бланк!$G$6="терморазрыв"),Бланк!$C$8=T269),$V$1,IF(Бланк!$B$8=T269,HLOOKUP(Бланк!$M$2,Цены[#All],S269,0),""))</f>
        <v/>
      </c>
      <c r="V269" s="32">
        <f t="shared" si="181"/>
        <v>267</v>
      </c>
      <c r="W269" s="10" t="str">
        <f t="shared" si="275"/>
        <v>Грибок</v>
      </c>
      <c r="X269" s="97" t="str">
        <f>IF(AND(OR(Бланк!$S$18="3-х конт.",Бланк!$G$22="терморазрыв"),Бланк!$C$24=T269),$V$1,IF(Бланк!$B$24=W269,HLOOKUP(Бланк!$M$18,Цены[#All],V269,0),""))</f>
        <v/>
      </c>
      <c r="Z269" s="32">
        <f t="shared" si="276"/>
        <v>267</v>
      </c>
      <c r="AA269" s="10" t="str">
        <f t="shared" si="276"/>
        <v>Грибок</v>
      </c>
      <c r="AB269" s="97" t="str">
        <f>IF(AND(OR(Бланк!$S$34="3-х конт.",Бланк!$G$38="терморазрыв"),Бланк!$C$40=T269),$V$1,IF(Бланк!$B$40=AA269,HLOOKUP(Бланк!$M$34,Цены[#All],Z269,0),""))</f>
        <v/>
      </c>
    </row>
    <row r="270" spans="1:28" s="39" customFormat="1" ht="15.75">
      <c r="A270" s="39">
        <f t="shared" si="245"/>
        <v>268</v>
      </c>
      <c r="B270" s="117"/>
      <c r="C270" s="228" t="s">
        <v>1668</v>
      </c>
      <c r="D270" s="843">
        <v>2</v>
      </c>
      <c r="E270" s="165">
        <v>2</v>
      </c>
      <c r="F270" s="300">
        <v>-2</v>
      </c>
      <c r="G270" s="843">
        <v>2</v>
      </c>
      <c r="H270" s="15">
        <v>2</v>
      </c>
      <c r="I270" s="843">
        <f>Цены[[#This Row],[О_2]]</f>
        <v>-2</v>
      </c>
      <c r="J270" s="119">
        <f>Цены[[#This Row],[О_2]]</f>
        <v>-2</v>
      </c>
      <c r="K270" s="165"/>
      <c r="L270" s="583"/>
      <c r="M270" s="75">
        <f t="shared" si="233"/>
        <v>268</v>
      </c>
      <c r="N270" s="594">
        <f>Цены[[#This Row],[Столбец1]]</f>
        <v>0</v>
      </c>
      <c r="O270" s="583" t="str">
        <f t="shared" si="242"/>
        <v/>
      </c>
      <c r="P270" s="583" t="str">
        <f t="shared" si="243"/>
        <v/>
      </c>
      <c r="Q270" s="617" t="str">
        <f t="shared" si="244"/>
        <v/>
      </c>
      <c r="S270" s="32">
        <f>Цена!A270</f>
        <v>268</v>
      </c>
      <c r="T270" s="62" t="str">
        <f>Цена!C270</f>
        <v>Био</v>
      </c>
      <c r="U270" s="97" t="str">
        <f>IF(AND(OR(Бланк!$S$2="3-х конт.",Бланк!$G$6="терморазрыв"),Бланк!$C$8=T270),$V$1,IF(Бланк!$B$8=T270,HLOOKUP(Бланк!$M$2,Цены[#All],S270,0),""))</f>
        <v/>
      </c>
      <c r="V270" s="32">
        <f t="shared" si="181"/>
        <v>268</v>
      </c>
      <c r="W270" s="10" t="str">
        <f t="shared" si="275"/>
        <v>Био</v>
      </c>
      <c r="X270" s="97" t="str">
        <f>IF(AND(OR(Бланк!$S$18="3-х конт.",Бланк!$G$22="терморазрыв"),Бланк!$C$24=T270),$V$1,IF(Бланк!$B$24=W270,HLOOKUP(Бланк!$M$18,Цены[#All],V270,0),""))</f>
        <v/>
      </c>
      <c r="Z270" s="32">
        <f t="shared" si="276"/>
        <v>268</v>
      </c>
      <c r="AA270" s="10" t="str">
        <f t="shared" si="276"/>
        <v>Био</v>
      </c>
      <c r="AB270" s="97" t="str">
        <f>IF(AND(OR(Бланк!$S$34="3-х конт.",Бланк!$G$38="терморазрыв"),Бланк!$C$40=T270),$V$1,IF(Бланк!$B$40=AA270,HLOOKUP(Бланк!$M$34,Цены[#All],Z270,0),""))</f>
        <v/>
      </c>
    </row>
    <row r="271" spans="1:28" ht="15.75">
      <c r="A271" s="39">
        <f t="shared" si="245"/>
        <v>269</v>
      </c>
      <c r="B271" s="117" t="s">
        <v>348</v>
      </c>
      <c r="C271" s="9" t="s">
        <v>1142</v>
      </c>
      <c r="D271" s="15">
        <v>5</v>
      </c>
      <c r="E271" s="154">
        <v>5</v>
      </c>
      <c r="F271" s="843">
        <v>5</v>
      </c>
      <c r="G271" s="15">
        <v>5</v>
      </c>
      <c r="H271" s="15">
        <v>5</v>
      </c>
      <c r="I271" s="843"/>
      <c r="J271" s="119"/>
      <c r="K271" s="165"/>
      <c r="L271" s="75"/>
      <c r="M271" s="75">
        <f t="shared" si="233"/>
        <v>269</v>
      </c>
      <c r="N271" s="594" t="s">
        <v>348</v>
      </c>
      <c r="O271" s="583" t="str">
        <f t="shared" si="242"/>
        <v/>
      </c>
      <c r="P271" s="583" t="str">
        <f t="shared" si="243"/>
        <v/>
      </c>
      <c r="Q271" s="617" t="str">
        <f t="shared" si="244"/>
        <v/>
      </c>
      <c r="S271" s="32">
        <f>Цена!A271</f>
        <v>269</v>
      </c>
      <c r="T271" s="62" t="str">
        <f>Цена!C271</f>
        <v>Круг хром</v>
      </c>
      <c r="U271" s="97" t="str">
        <f>IF(Бланк!$O$8=T271,HLOOKUP(Бланк!$M$2,Цены[#All],S271,0),"")</f>
        <v/>
      </c>
      <c r="V271" s="32">
        <f t="shared" si="181"/>
        <v>269</v>
      </c>
      <c r="W271" s="10" t="str">
        <f t="shared" si="275"/>
        <v>Круг хром</v>
      </c>
      <c r="X271" s="97" t="str">
        <f>IF(Бланк!$O$24=W271,HLOOKUP(Бланк!$M$18,Цены[#All],V271,0),"")</f>
        <v/>
      </c>
      <c r="Y271" s="39"/>
      <c r="Z271" s="32">
        <f t="shared" si="276"/>
        <v>269</v>
      </c>
      <c r="AA271" s="10" t="str">
        <f t="shared" si="276"/>
        <v>Круг хром</v>
      </c>
      <c r="AB271" s="97" t="str">
        <f>IF(Бланк!$O$40=AA271,HLOOKUP(Бланк!$M$34,Цены[#All],Z271,0),"")</f>
        <v/>
      </c>
    </row>
    <row r="272" spans="1:28" s="39" customFormat="1" ht="15.75">
      <c r="A272" s="39">
        <f t="shared" si="245"/>
        <v>270</v>
      </c>
      <c r="B272" s="117"/>
      <c r="C272" s="9" t="s">
        <v>1132</v>
      </c>
      <c r="D272" s="843">
        <f>Цены[[#This Row],[О_1]]</f>
        <v>8</v>
      </c>
      <c r="E272" s="425">
        <v>8</v>
      </c>
      <c r="F272" s="300">
        <f>E272</f>
        <v>8</v>
      </c>
      <c r="G272" s="843">
        <f>Цены[[#This Row],[О_0]]</f>
        <v>8</v>
      </c>
      <c r="H272" s="15">
        <f>Цены[[#This Row],[О_1]]</f>
        <v>8</v>
      </c>
      <c r="I272" s="843">
        <f>Цены[[#This Row],[О_2]]</f>
        <v>8</v>
      </c>
      <c r="J272" s="119">
        <f>Цены[[#This Row],[О_2]]</f>
        <v>8</v>
      </c>
      <c r="K272" s="165"/>
      <c r="L272" s="75"/>
      <c r="M272" s="75">
        <f t="shared" si="233"/>
        <v>270</v>
      </c>
      <c r="N272" s="594" t="s">
        <v>348</v>
      </c>
      <c r="O272" s="583" t="str">
        <f t="shared" si="242"/>
        <v/>
      </c>
      <c r="P272" s="583" t="str">
        <f t="shared" si="243"/>
        <v/>
      </c>
      <c r="Q272" s="617" t="str">
        <f t="shared" si="244"/>
        <v/>
      </c>
      <c r="S272" s="32">
        <f>Цена!A272</f>
        <v>270</v>
      </c>
      <c r="T272" s="62" t="str">
        <f>Цена!C272</f>
        <v>Круг чёрн.</v>
      </c>
      <c r="U272" s="97" t="str">
        <f>IF(Бланк!$O$8=T272,HLOOKUP(Бланк!$M$2,Цены[#All],S272,0),"")</f>
        <v/>
      </c>
      <c r="V272" s="32">
        <f t="shared" si="181"/>
        <v>270</v>
      </c>
      <c r="W272" s="10" t="str">
        <f t="shared" si="275"/>
        <v>Круг чёрн.</v>
      </c>
      <c r="X272" s="97"/>
      <c r="Z272" s="32">
        <f t="shared" si="276"/>
        <v>270</v>
      </c>
      <c r="AA272" s="10" t="str">
        <f t="shared" si="276"/>
        <v>Круг чёрн.</v>
      </c>
      <c r="AB272" s="97"/>
    </row>
    <row r="273" spans="1:28" s="39" customFormat="1" ht="15.75">
      <c r="A273" s="39">
        <f t="shared" si="245"/>
        <v>271</v>
      </c>
      <c r="B273" s="117"/>
      <c r="C273" s="9" t="s">
        <v>1141</v>
      </c>
      <c r="D273" s="843">
        <f>Цены[[#This Row],[О_1]]</f>
        <v>8</v>
      </c>
      <c r="E273" s="425">
        <v>8</v>
      </c>
      <c r="F273" s="380">
        <f>E273</f>
        <v>8</v>
      </c>
      <c r="G273" s="843">
        <f>Цены[[#This Row],[О_0]]</f>
        <v>8</v>
      </c>
      <c r="H273" s="15">
        <f>Цены[[#This Row],[О_1]]</f>
        <v>8</v>
      </c>
      <c r="I273" s="15">
        <f>Цены[[#This Row],[О_2]]</f>
        <v>8</v>
      </c>
      <c r="J273" s="119">
        <f>Цены[[#This Row],[О_2]]</f>
        <v>8</v>
      </c>
      <c r="K273" s="165"/>
      <c r="L273" s="583"/>
      <c r="M273" s="75">
        <f t="shared" si="233"/>
        <v>271</v>
      </c>
      <c r="N273" s="594" t="s">
        <v>348</v>
      </c>
      <c r="O273" s="583" t="str">
        <f t="shared" si="242"/>
        <v/>
      </c>
      <c r="P273" s="583" t="str">
        <f t="shared" si="243"/>
        <v/>
      </c>
      <c r="Q273" s="617" t="str">
        <f t="shared" si="244"/>
        <v/>
      </c>
      <c r="S273" s="32">
        <f>Цена!A273</f>
        <v>271</v>
      </c>
      <c r="T273" s="62" t="str">
        <f>Цена!C273</f>
        <v>Квад.хром</v>
      </c>
      <c r="U273" s="97" t="str">
        <f>IF(Бланк!$O$8=T273,HLOOKUP(Бланк!$M$2,Цены[#All],S273,0),"")</f>
        <v/>
      </c>
      <c r="V273" s="32">
        <f t="shared" si="181"/>
        <v>271</v>
      </c>
      <c r="W273" s="10" t="str">
        <f t="shared" si="275"/>
        <v>Квад.хром</v>
      </c>
      <c r="X273" s="97" t="str">
        <f>IF(Бланк!$O$24=W273,HLOOKUP(Бланк!$M$18,Цены[#All],V273,0),"")</f>
        <v/>
      </c>
      <c r="Z273" s="32">
        <f t="shared" si="276"/>
        <v>271</v>
      </c>
      <c r="AA273" s="10" t="str">
        <f t="shared" si="276"/>
        <v>Квад.хром</v>
      </c>
      <c r="AB273" s="97" t="str">
        <f>IF(Бланк!$O$40=AA273,HLOOKUP(Бланк!$M$34,Цены[#All],Z273,0),"")</f>
        <v/>
      </c>
    </row>
    <row r="274" spans="1:28" s="39" customFormat="1" ht="15.75">
      <c r="A274" s="39">
        <f t="shared" si="245"/>
        <v>272</v>
      </c>
      <c r="B274" s="117"/>
      <c r="C274" s="9" t="s">
        <v>1133</v>
      </c>
      <c r="D274" s="843">
        <f>Цены[[#This Row],[О_1]]</f>
        <v>8</v>
      </c>
      <c r="E274" s="630">
        <f>E273</f>
        <v>8</v>
      </c>
      <c r="F274" s="630">
        <f t="shared" ref="F274:J274" si="277">F273</f>
        <v>8</v>
      </c>
      <c r="G274" s="843">
        <f>Цены[[#This Row],[О_0]]</f>
        <v>8</v>
      </c>
      <c r="H274" s="630">
        <f t="shared" si="277"/>
        <v>8</v>
      </c>
      <c r="I274" s="630">
        <f t="shared" si="277"/>
        <v>8</v>
      </c>
      <c r="J274" s="665">
        <f t="shared" si="277"/>
        <v>8</v>
      </c>
      <c r="K274" s="165"/>
      <c r="L274" s="583"/>
      <c r="M274" s="75">
        <f t="shared" si="233"/>
        <v>272</v>
      </c>
      <c r="N274" s="594" t="s">
        <v>348</v>
      </c>
      <c r="O274" s="583" t="str">
        <f t="shared" si="242"/>
        <v/>
      </c>
      <c r="P274" s="583" t="str">
        <f t="shared" si="243"/>
        <v/>
      </c>
      <c r="Q274" s="617" t="str">
        <f t="shared" si="244"/>
        <v/>
      </c>
      <c r="S274" s="32">
        <f>Цена!A274</f>
        <v>272</v>
      </c>
      <c r="T274" s="62" t="str">
        <f>Цена!C274</f>
        <v>Квад.чёрн.</v>
      </c>
      <c r="U274" s="97" t="str">
        <f>IF(Бланк!$O$8=T274,HLOOKUP(Бланк!$M$2,Цены[#All],S274,0),"")</f>
        <v/>
      </c>
      <c r="V274" s="32">
        <f t="shared" si="181"/>
        <v>272</v>
      </c>
      <c r="W274" s="10" t="str">
        <f t="shared" si="275"/>
        <v>Квад.чёрн.</v>
      </c>
      <c r="X274" s="97" t="str">
        <f>IF(Бланк!$O$24=W274,HLOOKUP(Бланк!$M$18,Цены[#All],V274,0),"")</f>
        <v/>
      </c>
      <c r="Z274" s="32">
        <f t="shared" si="276"/>
        <v>272</v>
      </c>
      <c r="AA274" s="10" t="str">
        <f t="shared" si="276"/>
        <v>Квад.чёрн.</v>
      </c>
      <c r="AB274" s="97" t="str">
        <f>IF(Бланк!$O$40=AA274,HLOOKUP(Бланк!$M$34,Цены[#All],Z274,0),"")</f>
        <v/>
      </c>
    </row>
    <row r="275" spans="1:28" s="569" customFormat="1" ht="15.75">
      <c r="A275" s="39">
        <f t="shared" si="245"/>
        <v>273</v>
      </c>
      <c r="B275" s="570"/>
      <c r="C275" s="419" t="s">
        <v>1655</v>
      </c>
      <c r="D275" s="571">
        <v>7</v>
      </c>
      <c r="E275" s="572">
        <f>D275</f>
        <v>7</v>
      </c>
      <c r="F275" s="571">
        <f t="shared" ref="F275:H275" si="278">E275</f>
        <v>7</v>
      </c>
      <c r="G275" s="571">
        <f t="shared" si="278"/>
        <v>7</v>
      </c>
      <c r="H275" s="380">
        <f t="shared" si="278"/>
        <v>7</v>
      </c>
      <c r="I275" s="572">
        <f>H275-H271</f>
        <v>2</v>
      </c>
      <c r="J275" s="824">
        <f>I275</f>
        <v>2</v>
      </c>
      <c r="K275" s="572"/>
      <c r="L275" s="590"/>
      <c r="M275" s="75">
        <f t="shared" ref="M275" si="279">A275</f>
        <v>273</v>
      </c>
      <c r="N275" s="594" t="s">
        <v>348</v>
      </c>
      <c r="O275" s="583" t="str">
        <f t="shared" ref="O275" si="280">IF(U275=$V$1,"Ошибка-1","")</f>
        <v/>
      </c>
      <c r="P275" s="583" t="str">
        <f t="shared" ref="P275" si="281">IF(X275=$V$1,"Ошибка-2","")</f>
        <v/>
      </c>
      <c r="Q275" s="617" t="str">
        <f t="shared" ref="Q275" si="282">IF(AB275=$V$1,"Ошибка-3","")</f>
        <v/>
      </c>
      <c r="S275" s="573">
        <f>Цена!A275</f>
        <v>273</v>
      </c>
      <c r="T275" s="574" t="str">
        <f>Цена!C275</f>
        <v>Круг никель</v>
      </c>
      <c r="U275" s="575" t="str">
        <f>IF(Бланк!$O$8=T275,HLOOKUP(Бланк!$M$2,Цены[#All],S275,0),"")</f>
        <v/>
      </c>
      <c r="V275" s="573">
        <f t="shared" ref="V275" si="283">A275</f>
        <v>273</v>
      </c>
      <c r="W275" s="574" t="str">
        <f t="shared" ref="W275" si="284">T275</f>
        <v>Круг никель</v>
      </c>
      <c r="X275" s="575" t="str">
        <f>IF(Бланк!$O$24=W275,HLOOKUP(Бланк!$M$18,Цены[#All],V275,0),"")</f>
        <v/>
      </c>
      <c r="Z275" s="573">
        <f t="shared" ref="Z275" si="285">S275</f>
        <v>273</v>
      </c>
      <c r="AA275" s="574" t="str">
        <f t="shared" ref="AA275" si="286">T275</f>
        <v>Круг никель</v>
      </c>
      <c r="AB275" s="575" t="str">
        <f>IF(Бланк!$O$40=AA275,HLOOKUP(Бланк!$M$34,Цены[#All],Z275,0),"")</f>
        <v/>
      </c>
    </row>
    <row r="276" spans="1:28" s="39" customFormat="1" ht="15.75">
      <c r="A276" s="39">
        <f t="shared" si="245"/>
        <v>274</v>
      </c>
      <c r="B276" s="117"/>
      <c r="C276" s="9" t="s">
        <v>21</v>
      </c>
      <c r="D276" s="15"/>
      <c r="E276" s="154"/>
      <c r="F276" s="843"/>
      <c r="G276" s="15"/>
      <c r="H276" s="15"/>
      <c r="I276" s="843">
        <v>-5</v>
      </c>
      <c r="J276" s="119">
        <v>-5</v>
      </c>
      <c r="K276" s="154"/>
      <c r="L276" s="587"/>
      <c r="M276" s="75">
        <f t="shared" si="233"/>
        <v>274</v>
      </c>
      <c r="N276" s="597">
        <f>Цены[[#This Row],[Столбец1]]</f>
        <v>0</v>
      </c>
      <c r="O276" s="583" t="str">
        <f t="shared" si="242"/>
        <v/>
      </c>
      <c r="P276" s="583" t="str">
        <f t="shared" si="243"/>
        <v/>
      </c>
      <c r="Q276" s="617" t="str">
        <f t="shared" si="244"/>
        <v/>
      </c>
      <c r="S276" s="32">
        <f>Цена!A276</f>
        <v>274</v>
      </c>
      <c r="T276" s="62" t="str">
        <f>Цена!C276</f>
        <v>нет</v>
      </c>
      <c r="U276" s="97">
        <f>IF(Бланк!$O$8=T276,HLOOKUP(Бланк!$M$2,Цены[#All],S276,0),"")</f>
        <v>0</v>
      </c>
      <c r="V276" s="32">
        <f t="shared" si="181"/>
        <v>274</v>
      </c>
      <c r="W276" s="10" t="str">
        <f t="shared" si="275"/>
        <v>нет</v>
      </c>
      <c r="X276" s="97">
        <f>IF(Бланк!$O$24=W276,HLOOKUP(Бланк!$M$18,Цены[#All],V276,0),"")</f>
        <v>0</v>
      </c>
      <c r="Z276" s="32">
        <f t="shared" si="276"/>
        <v>274</v>
      </c>
      <c r="AA276" s="10" t="str">
        <f t="shared" si="276"/>
        <v>нет</v>
      </c>
      <c r="AB276" s="97" t="str">
        <f>IF(Бланк!$O$40=AA276,HLOOKUP(Бланк!$M$34,Цены[#All],Z276,0),"")</f>
        <v/>
      </c>
    </row>
    <row r="277" spans="1:28" ht="15.75">
      <c r="A277" s="39">
        <f t="shared" si="245"/>
        <v>275</v>
      </c>
      <c r="B277" s="117" t="s">
        <v>47</v>
      </c>
      <c r="C277" s="9" t="s">
        <v>48</v>
      </c>
      <c r="D277" s="15">
        <v>3</v>
      </c>
      <c r="E277" s="154">
        <v>3</v>
      </c>
      <c r="F277" s="15">
        <v>3</v>
      </c>
      <c r="G277" s="15">
        <v>3</v>
      </c>
      <c r="H277" s="15">
        <v>3</v>
      </c>
      <c r="I277" s="15">
        <v>3</v>
      </c>
      <c r="J277" s="119">
        <v>3</v>
      </c>
      <c r="K277" s="154"/>
      <c r="L277" s="587"/>
      <c r="M277" s="75">
        <f t="shared" si="233"/>
        <v>275</v>
      </c>
      <c r="N277" s="594" t="str">
        <f>Цены[[#This Row],[Столбец1]]</f>
        <v>Замена Хром на</v>
      </c>
      <c r="O277" s="583" t="str">
        <f t="shared" si="242"/>
        <v/>
      </c>
      <c r="P277" s="583" t="str">
        <f t="shared" si="243"/>
        <v/>
      </c>
      <c r="Q277" s="617" t="str">
        <f t="shared" si="244"/>
        <v/>
      </c>
      <c r="S277" s="32">
        <f>Цена!A277</f>
        <v>275</v>
      </c>
      <c r="T277" s="62" t="str">
        <f>Цена!C277</f>
        <v>Золото</v>
      </c>
      <c r="U277" s="97" t="str">
        <f>IF(Бланк!$G$8=T277,HLOOKUP(Бланк!$M$2,Цены[#All],S277,0),"")</f>
        <v/>
      </c>
      <c r="V277" s="32">
        <f t="shared" si="181"/>
        <v>275</v>
      </c>
      <c r="W277" s="10" t="str">
        <f t="shared" si="211"/>
        <v>Золото</v>
      </c>
      <c r="X277" s="97" t="str">
        <f>IF(Бланк!$G$24=W277,HLOOKUP(Бланк!$M$18,Цены[#All],V277,0),"")</f>
        <v/>
      </c>
      <c r="Z277" s="32">
        <f t="shared" si="276"/>
        <v>275</v>
      </c>
      <c r="AA277" s="10" t="str">
        <f t="shared" si="276"/>
        <v>Золото</v>
      </c>
      <c r="AB277" s="97" t="str">
        <f>IF(Бланк!$G$40=AA277,HLOOKUP(Бланк!$M$34,Цены[#All],Z277,0),"")</f>
        <v/>
      </c>
    </row>
    <row r="278" spans="1:28" ht="15.75">
      <c r="A278" s="39">
        <f t="shared" si="245"/>
        <v>276</v>
      </c>
      <c r="B278" s="117"/>
      <c r="C278" s="9" t="s">
        <v>49</v>
      </c>
      <c r="D278" s="843">
        <v>3</v>
      </c>
      <c r="E278" s="165">
        <v>3</v>
      </c>
      <c r="F278" s="843">
        <v>3</v>
      </c>
      <c r="G278" s="843">
        <v>3</v>
      </c>
      <c r="H278" s="15">
        <v>3</v>
      </c>
      <c r="I278" s="843">
        <v>3</v>
      </c>
      <c r="J278" s="119">
        <v>3</v>
      </c>
      <c r="K278" s="165"/>
      <c r="L278" s="75"/>
      <c r="M278" s="75">
        <f t="shared" si="233"/>
        <v>276</v>
      </c>
      <c r="N278" s="594" t="str">
        <f>N277</f>
        <v>Замена Хром на</v>
      </c>
      <c r="O278" s="583" t="str">
        <f t="shared" si="242"/>
        <v/>
      </c>
      <c r="P278" s="583" t="str">
        <f t="shared" si="243"/>
        <v/>
      </c>
      <c r="Q278" s="617" t="str">
        <f t="shared" si="244"/>
        <v/>
      </c>
      <c r="S278" s="32">
        <f>Цена!A278</f>
        <v>276</v>
      </c>
      <c r="T278" s="62" t="str">
        <f>Цена!C278</f>
        <v>Бронза</v>
      </c>
      <c r="U278" s="97" t="str">
        <f>IF(Бланк!$G$8=T278,HLOOKUP(Бланк!$M$2,Цены[#All],S278,0),"")</f>
        <v/>
      </c>
      <c r="V278" s="32">
        <f t="shared" si="181"/>
        <v>276</v>
      </c>
      <c r="W278" s="10" t="str">
        <f t="shared" si="211"/>
        <v>Бронза</v>
      </c>
      <c r="X278" s="97" t="str">
        <f>IF(Бланк!$G$24=W278,HLOOKUP(Бланк!$M$18,Цены[#All],V278,0),"")</f>
        <v/>
      </c>
      <c r="Z278" s="32">
        <f t="shared" si="276"/>
        <v>276</v>
      </c>
      <c r="AA278" s="10" t="str">
        <f t="shared" si="276"/>
        <v>Бронза</v>
      </c>
      <c r="AB278" s="97" t="str">
        <f>IF(Бланк!$G$40=AA278,HLOOKUP(Бланк!$M$34,Цены[#All],Z278,0),"")</f>
        <v/>
      </c>
    </row>
    <row r="279" spans="1:28" s="39" customFormat="1" ht="15.75">
      <c r="A279" s="39">
        <f t="shared" si="245"/>
        <v>277</v>
      </c>
      <c r="B279" s="117" t="s">
        <v>618</v>
      </c>
      <c r="C279" s="9" t="s">
        <v>1146</v>
      </c>
      <c r="D279" s="300">
        <v>2</v>
      </c>
      <c r="E279" s="165">
        <f>D279</f>
        <v>2</v>
      </c>
      <c r="F279" s="165">
        <f t="shared" ref="F279:J279" si="287">E279</f>
        <v>2</v>
      </c>
      <c r="G279" s="165">
        <f t="shared" si="287"/>
        <v>2</v>
      </c>
      <c r="H279" s="154">
        <f t="shared" si="287"/>
        <v>2</v>
      </c>
      <c r="I279" s="165">
        <f t="shared" si="287"/>
        <v>2</v>
      </c>
      <c r="J279" s="666">
        <f t="shared" si="287"/>
        <v>2</v>
      </c>
      <c r="K279" s="165"/>
      <c r="L279" s="75"/>
      <c r="M279" s="75">
        <f t="shared" si="233"/>
        <v>277</v>
      </c>
      <c r="N279" s="594" t="str">
        <f>Цены[[#This Row],[Столбец1]]</f>
        <v>Глазок</v>
      </c>
      <c r="O279" s="583" t="str">
        <f>IF(U279=$V$1,"Ошибка-1","")</f>
        <v/>
      </c>
      <c r="P279" s="583" t="str">
        <f>IF(X279=$V$1,"Ошибка-2","")</f>
        <v/>
      </c>
      <c r="Q279" s="617" t="str">
        <f>IF(AB279=$V$1,"Ошибка-3","")</f>
        <v/>
      </c>
      <c r="S279" s="32">
        <f>Цена!A279</f>
        <v>277</v>
      </c>
      <c r="T279" s="62" t="str">
        <f>Цена!C279</f>
        <v>Квад-т хром</v>
      </c>
      <c r="U279" s="97" t="str">
        <f>IF(Бланк!$X$6=T279,HLOOKUP(Бланк!$M$2,Цены[#All],S279,0),"")</f>
        <v/>
      </c>
      <c r="V279" s="32">
        <f>A279</f>
        <v>277</v>
      </c>
      <c r="W279" s="10" t="str">
        <f>T279</f>
        <v>Квад-т хром</v>
      </c>
      <c r="X279" s="97" t="str">
        <f>IF(Бланк!$X$22=W279,HLOOKUP(Бланк!$M$18,Цены[#All],V279,0),"")</f>
        <v/>
      </c>
      <c r="Z279" s="32">
        <f t="shared" si="276"/>
        <v>277</v>
      </c>
      <c r="AA279" s="10" t="str">
        <f t="shared" si="212"/>
        <v>Квад-т хром</v>
      </c>
      <c r="AB279" s="97" t="str">
        <f>IF(Бланк!$X$38=AA279,HLOOKUP(Бланк!$M$34,Цены[#All],Z279,0),"")</f>
        <v/>
      </c>
    </row>
    <row r="280" spans="1:28" s="39" customFormat="1" ht="15.75">
      <c r="A280" s="39">
        <f t="shared" si="245"/>
        <v>278</v>
      </c>
      <c r="B280" s="117"/>
      <c r="C280" s="9" t="s">
        <v>1147</v>
      </c>
      <c r="D280" s="577">
        <f>D279</f>
        <v>2</v>
      </c>
      <c r="E280" s="165">
        <f t="shared" ref="E280:J280" si="288">D280</f>
        <v>2</v>
      </c>
      <c r="F280" s="165">
        <f t="shared" si="288"/>
        <v>2</v>
      </c>
      <c r="G280" s="165">
        <f t="shared" si="288"/>
        <v>2</v>
      </c>
      <c r="H280" s="154">
        <f t="shared" si="288"/>
        <v>2</v>
      </c>
      <c r="I280" s="165">
        <f t="shared" si="288"/>
        <v>2</v>
      </c>
      <c r="J280" s="666">
        <f t="shared" si="288"/>
        <v>2</v>
      </c>
      <c r="K280" s="165"/>
      <c r="L280" s="75"/>
      <c r="M280" s="75">
        <f t="shared" si="233"/>
        <v>278</v>
      </c>
      <c r="N280" s="594" t="str">
        <f>B279</f>
        <v>Глазок</v>
      </c>
      <c r="O280" s="583" t="str">
        <f t="shared" si="242"/>
        <v/>
      </c>
      <c r="P280" s="583" t="str">
        <f>IF(X280=$V$1,"Ошибка-2","")</f>
        <v/>
      </c>
      <c r="Q280" s="617" t="str">
        <f t="shared" si="244"/>
        <v/>
      </c>
      <c r="S280" s="32">
        <f>Цена!A280</f>
        <v>278</v>
      </c>
      <c r="T280" s="62" t="str">
        <f>Цена!C280</f>
        <v>Круг чёр.</v>
      </c>
      <c r="U280" s="97" t="str">
        <f>IF(Бланк!$X$6=T280,HLOOKUP(Бланк!$M$2,Цены[#All],S280,0),"")</f>
        <v/>
      </c>
      <c r="V280" s="32">
        <f>A280</f>
        <v>278</v>
      </c>
      <c r="W280" s="10" t="str">
        <f>T280</f>
        <v>Круг чёр.</v>
      </c>
      <c r="X280" s="97" t="str">
        <f>IF(Бланк!$X$22=W280,HLOOKUP(Бланк!$M$18,Цены[#All],V280,0),"")</f>
        <v/>
      </c>
      <c r="Z280" s="32">
        <f t="shared" ref="Z280:Z281" si="289">S280</f>
        <v>278</v>
      </c>
      <c r="AA280" s="10" t="str">
        <f t="shared" ref="AA280:AA281" si="290">T280</f>
        <v>Круг чёр.</v>
      </c>
      <c r="AB280" s="97" t="str">
        <f>IF(Бланк!$X$38=AA280,HLOOKUP(Бланк!$M$34,Цены[#All],Z280,0),"")</f>
        <v/>
      </c>
    </row>
    <row r="281" spans="1:28" s="39" customFormat="1" ht="15.75">
      <c r="A281" s="39">
        <f t="shared" si="245"/>
        <v>279</v>
      </c>
      <c r="B281" s="117"/>
      <c r="C281" s="9" t="s">
        <v>1148</v>
      </c>
      <c r="D281" s="577">
        <f>D280</f>
        <v>2</v>
      </c>
      <c r="E281" s="165">
        <f t="shared" ref="E281:J281" si="291">D281</f>
        <v>2</v>
      </c>
      <c r="F281" s="165">
        <f t="shared" si="291"/>
        <v>2</v>
      </c>
      <c r="G281" s="165">
        <f t="shared" si="291"/>
        <v>2</v>
      </c>
      <c r="H281" s="154">
        <f t="shared" si="291"/>
        <v>2</v>
      </c>
      <c r="I281" s="165">
        <f t="shared" si="291"/>
        <v>2</v>
      </c>
      <c r="J281" s="666">
        <f t="shared" si="291"/>
        <v>2</v>
      </c>
      <c r="K281" s="165"/>
      <c r="L281" s="75"/>
      <c r="M281" s="75">
        <f t="shared" si="233"/>
        <v>279</v>
      </c>
      <c r="N281" s="594" t="str">
        <f>B279</f>
        <v>Глазок</v>
      </c>
      <c r="O281" s="583" t="str">
        <f>IF(U281=$V$1,"Ошибка-1","")</f>
        <v/>
      </c>
      <c r="P281" s="583" t="str">
        <f>IF(X281=$V$1,"Ошибка-2","")</f>
        <v/>
      </c>
      <c r="Q281" s="617" t="str">
        <f>IF(AB281=$V$1,"Ошибка-3","")</f>
        <v/>
      </c>
      <c r="S281" s="32">
        <f>Цена!A281</f>
        <v>279</v>
      </c>
      <c r="T281" s="62" t="str">
        <f>Цена!C281</f>
        <v>Квад-т чёрн.</v>
      </c>
      <c r="U281" s="97" t="str">
        <f>IF(Бланк!$X$6=T281,HLOOKUP(Бланк!$M$2,Цены[#All],S281,0),"")</f>
        <v/>
      </c>
      <c r="V281" s="32">
        <f>A281</f>
        <v>279</v>
      </c>
      <c r="W281" s="10" t="str">
        <f>T281</f>
        <v>Квад-т чёрн.</v>
      </c>
      <c r="X281" s="97" t="str">
        <f>IF(Бланк!$X$22=W281,HLOOKUP(Бланк!$M$18,Цены[#All],V281,0),"")</f>
        <v/>
      </c>
      <c r="Z281" s="32">
        <f t="shared" si="289"/>
        <v>279</v>
      </c>
      <c r="AA281" s="10" t="str">
        <f t="shared" si="290"/>
        <v>Квад-т чёрн.</v>
      </c>
      <c r="AB281" s="97" t="str">
        <f>IF(Бланк!$X$38=AA281,HLOOKUP(Бланк!$M$34,Цены[#All],Z281,0),"")</f>
        <v/>
      </c>
    </row>
    <row r="282" spans="1:28" s="569" customFormat="1" ht="15.75">
      <c r="A282" s="39">
        <f t="shared" si="245"/>
        <v>280</v>
      </c>
      <c r="B282" s="570"/>
      <c r="C282" s="419" t="s">
        <v>1655</v>
      </c>
      <c r="D282" s="571">
        <v>6</v>
      </c>
      <c r="E282" s="572">
        <f>D282</f>
        <v>6</v>
      </c>
      <c r="F282" s="572">
        <f t="shared" ref="F282:J282" si="292">E282</f>
        <v>6</v>
      </c>
      <c r="G282" s="572">
        <f t="shared" si="292"/>
        <v>6</v>
      </c>
      <c r="H282" s="425">
        <f t="shared" si="292"/>
        <v>6</v>
      </c>
      <c r="I282" s="572">
        <f t="shared" si="292"/>
        <v>6</v>
      </c>
      <c r="J282" s="824">
        <f t="shared" si="292"/>
        <v>6</v>
      </c>
      <c r="K282" s="572"/>
      <c r="L282" s="815"/>
      <c r="M282" s="75">
        <f t="shared" si="233"/>
        <v>280</v>
      </c>
      <c r="N282" s="594" t="str">
        <f>B279</f>
        <v>Глазок</v>
      </c>
      <c r="O282" s="583" t="str">
        <f>IF(U282=$V$1,"Ошибка-1","")</f>
        <v/>
      </c>
      <c r="P282" s="583" t="str">
        <f>IF(X282=$V$1,"Ошибка-2","")</f>
        <v/>
      </c>
      <c r="Q282" s="617" t="str">
        <f>IF(AB282=$V$1,"Ошибка-3","")</f>
        <v/>
      </c>
      <c r="S282" s="573">
        <f>Цена!A282</f>
        <v>280</v>
      </c>
      <c r="T282" s="574" t="str">
        <f>Цена!C282</f>
        <v>Круг никель</v>
      </c>
      <c r="U282" s="575" t="str">
        <f>IF(Бланк!$X$6=T282,HLOOKUP(Бланк!$M$2,Цены[#All],S282,0),"")</f>
        <v/>
      </c>
      <c r="V282" s="573">
        <f>A282</f>
        <v>280</v>
      </c>
      <c r="W282" s="574" t="str">
        <f>T282</f>
        <v>Круг никель</v>
      </c>
      <c r="X282" s="575" t="str">
        <f>IF(Бланк!$X$22=W282,HLOOKUP(Бланк!$M$18,Цены[#All],V282,0),"")</f>
        <v/>
      </c>
      <c r="Z282" s="573">
        <f t="shared" ref="Z282" si="293">S282</f>
        <v>280</v>
      </c>
      <c r="AA282" s="574" t="str">
        <f t="shared" ref="AA282" si="294">T282</f>
        <v>Круг никель</v>
      </c>
      <c r="AB282" s="575" t="str">
        <f>IF(Бланк!$X$38=AA282,HLOOKUP(Бланк!$M$34,Цены[#All],Z282,0),"")</f>
        <v/>
      </c>
    </row>
    <row r="283" spans="1:28" s="39" customFormat="1" ht="15.75">
      <c r="A283" s="39">
        <f t="shared" si="245"/>
        <v>281</v>
      </c>
      <c r="B283" s="117" t="s">
        <v>1072</v>
      </c>
      <c r="C283" s="9" t="s">
        <v>1073</v>
      </c>
      <c r="D283" s="843" t="s">
        <v>1075</v>
      </c>
      <c r="E283" s="165" t="s">
        <v>1075</v>
      </c>
      <c r="F283" s="843"/>
      <c r="G283" s="843" t="str">
        <f>Цены[[#This Row],[О_0]]</f>
        <v>Ошибка</v>
      </c>
      <c r="H283" s="15"/>
      <c r="I283" s="843"/>
      <c r="J283" s="119"/>
      <c r="K283" s="165"/>
      <c r="L283" s="583"/>
      <c r="M283" s="75">
        <f t="shared" si="233"/>
        <v>281</v>
      </c>
      <c r="N283" s="594" t="s">
        <v>1088</v>
      </c>
      <c r="O283" s="583" t="str">
        <f t="shared" si="242"/>
        <v/>
      </c>
      <c r="P283" s="583" t="str">
        <f t="shared" si="243"/>
        <v/>
      </c>
      <c r="Q283" s="617" t="str">
        <f t="shared" si="244"/>
        <v/>
      </c>
      <c r="S283" s="32">
        <f>Цена!A283</f>
        <v>281</v>
      </c>
      <c r="T283" s="62" t="str">
        <f>Цена!C283</f>
        <v>Окно схема</v>
      </c>
      <c r="U283" s="97" t="str">
        <f>IF(Бланк!$C$13=T283,IF(OR(Исходные!$AI$3="Ошибка",HLOOKUP(Бланк!$M$2,Цены[#All],S283,0)="Ошибка"),"Ошибка",HLOOKUP(Бланк!$M$2,Цены[#All],S283,0)*Исходные!$AI$3),"")</f>
        <v/>
      </c>
      <c r="V283" s="32">
        <f t="shared" si="181"/>
        <v>281</v>
      </c>
      <c r="W283" s="10" t="str">
        <f t="shared" ref="W283" si="295">T283</f>
        <v>Окно схема</v>
      </c>
      <c r="X283" s="97" t="str">
        <f>IF(Бланк!$C$29=W283,IF(OR(Исходные!$AI$4="Ошибка",HLOOKUP(Бланк!$M$18,Цены[#All],V283,0)="Ошибка"),"Ошибка",IF(Бланк!$C$29=W283,HLOOKUP(Бланк!$M$18,Цены[#All],V283,0)*Исходные!$AI$4,"")),"")</f>
        <v/>
      </c>
      <c r="Z283" s="32">
        <f t="shared" si="276"/>
        <v>281</v>
      </c>
      <c r="AA283" s="10" t="str">
        <f t="shared" ref="AA283:AA284" si="296">T283</f>
        <v>Окно схема</v>
      </c>
      <c r="AB283" s="97" t="str">
        <f>IF(Бланк!$C$45=AA283,IF(OR(Исходные!$AI$5="Ошибка",HLOOKUP(Бланк!$M$34,Цены[#All],Z283,0)="Ошибка"),"Ошибка",IF(Бланк!$C$45=AA283,HLOOKUP(Бланк!$M$34,Цены[#All],Z283,0)*Исходные!$AI$5,"")),"")</f>
        <v/>
      </c>
    </row>
    <row r="284" spans="1:28" ht="15.75">
      <c r="A284" s="39">
        <f t="shared" si="245"/>
        <v>282</v>
      </c>
      <c r="B284" s="116" t="s">
        <v>74</v>
      </c>
      <c r="C284" s="9" t="s">
        <v>322</v>
      </c>
      <c r="D284" s="843" t="s">
        <v>1075</v>
      </c>
      <c r="E284" s="165" t="s">
        <v>1075</v>
      </c>
      <c r="F284" s="300">
        <v>60</v>
      </c>
      <c r="G284" s="15">
        <f>Цены[[#This Row],[О_2]]</f>
        <v>60</v>
      </c>
      <c r="H284" s="580">
        <f>Цены[[#This Row],[М_0]]</f>
        <v>60</v>
      </c>
      <c r="I284" s="580">
        <f>Цены[[#This Row],[М_1]]</f>
        <v>60</v>
      </c>
      <c r="J284" s="119">
        <f>Цены[[#This Row],[О_2]]</f>
        <v>60</v>
      </c>
      <c r="K284" s="154">
        <f>Цены[[#This Row],[М_3]]</f>
        <v>60</v>
      </c>
      <c r="L284" s="587"/>
      <c r="M284" s="75">
        <f t="shared" si="233"/>
        <v>282</v>
      </c>
      <c r="N284" s="594" t="s">
        <v>1088</v>
      </c>
      <c r="O284" s="583" t="str">
        <f t="shared" si="242"/>
        <v/>
      </c>
      <c r="P284" s="583" t="str">
        <f t="shared" si="243"/>
        <v/>
      </c>
      <c r="Q284" s="617" t="str">
        <f t="shared" si="244"/>
        <v/>
      </c>
      <c r="R284" s="61"/>
      <c r="S284" s="32">
        <f>Цена!A284</f>
        <v>282</v>
      </c>
      <c r="T284" s="63" t="str">
        <f>Цена!C284</f>
        <v>Окно Подъездное+решёт.</v>
      </c>
      <c r="U284" s="97" t="str">
        <f>IF(Бланк!$C$13=T284,IF(OR(Исходные!$AI$3="Ошибка",HLOOKUP(Бланк!$M$2,Цены[#All],S284,0)="Ошибка"),"Ошибка",HLOOKUP(Бланк!$M$2,Цены[#All],S284,0)*Исходные!$AI$3),"")</f>
        <v/>
      </c>
      <c r="V284" s="32">
        <f t="shared" si="181"/>
        <v>282</v>
      </c>
      <c r="W284" s="10" t="str">
        <f t="shared" si="211"/>
        <v>Окно Подъездное+решёт.</v>
      </c>
      <c r="X284" s="97" t="str">
        <f>IF(Бланк!$C$29=W284,IF(OR(Исходные!$AI$4="Ошибка",HLOOKUP(Бланк!$M$18,Цены[#All],V284,0)="Ошибка"),"Ошибка",IF(Бланк!$C$29=W284,HLOOKUP(Бланк!$M$18,Цены[#All],V284,0)*Исходные!$AI$4,"")),"")</f>
        <v/>
      </c>
      <c r="Z284" s="32">
        <f t="shared" ref="Z284" si="297">S284</f>
        <v>282</v>
      </c>
      <c r="AA284" s="10" t="str">
        <f t="shared" si="296"/>
        <v>Окно Подъездное+решёт.</v>
      </c>
      <c r="AB284" s="97" t="str">
        <f>IF(Бланк!$C$45=AA284,IF(OR(Исходные!$AI$5="Ошибка",HLOOKUP(Бланк!$M$34,Цены[#All],Z284,0)="Ошибка"),"Ошибка",IF(Бланк!$C$45=AA284,HLOOKUP(Бланк!$M$34,Цены[#All],Z284,0)*Исходные!$AI$5,"")),"")</f>
        <v/>
      </c>
    </row>
    <row r="285" spans="1:28" ht="15.75">
      <c r="A285" s="39">
        <f t="shared" si="245"/>
        <v>283</v>
      </c>
      <c r="B285" s="116"/>
      <c r="C285" s="9" t="s">
        <v>323</v>
      </c>
      <c r="D285" s="843" t="s">
        <v>1075</v>
      </c>
      <c r="E285" s="165" t="s">
        <v>1075</v>
      </c>
      <c r="F285" s="300">
        <v>32</v>
      </c>
      <c r="G285" s="15">
        <f>Цены[[#This Row],[О_2]]</f>
        <v>32</v>
      </c>
      <c r="H285" s="580">
        <f>Цены[[#This Row],[М_0]]</f>
        <v>32</v>
      </c>
      <c r="I285" s="580">
        <f>Цены[[#This Row],[М_1]]</f>
        <v>32</v>
      </c>
      <c r="J285" s="119">
        <f>Цены[[#This Row],[О_2]]</f>
        <v>32</v>
      </c>
      <c r="K285" s="154">
        <f>Цены[[#This Row],[М_3]]</f>
        <v>32</v>
      </c>
      <c r="L285" s="587"/>
      <c r="M285" s="75">
        <f t="shared" si="233"/>
        <v>283</v>
      </c>
      <c r="N285" s="594" t="s">
        <v>1088</v>
      </c>
      <c r="O285" s="583" t="str">
        <f t="shared" si="242"/>
        <v/>
      </c>
      <c r="P285" s="583" t="str">
        <f t="shared" si="243"/>
        <v/>
      </c>
      <c r="Q285" s="617" t="str">
        <f t="shared" si="244"/>
        <v/>
      </c>
      <c r="R285" s="61"/>
      <c r="S285" s="32">
        <f>Цена!A285</f>
        <v>283</v>
      </c>
      <c r="T285" s="63" t="str">
        <f>Цена!C285</f>
        <v>Окно Подъезд.без решёт.</v>
      </c>
      <c r="U285" s="97" t="str">
        <f>IF(Бланк!$C$13=T285,IF(OR(Исходные!$AI$3="Ошибка",HLOOKUP(Бланк!$M$2,Цены[#All],S285,0)="Ошибка"),"Ошибка",HLOOKUP(Бланк!$M$2,Цены[#All],S285,0)*Исходные!$AI$3),"")</f>
        <v/>
      </c>
      <c r="V285" s="32">
        <f t="shared" si="181"/>
        <v>283</v>
      </c>
      <c r="W285" s="10" t="str">
        <f t="shared" si="211"/>
        <v>Окно Подъезд.без решёт.</v>
      </c>
      <c r="X285" s="97" t="str">
        <f>IF(Бланк!$C$29=W285,IF(OR(Исходные!$AI$4="Ошибка",HLOOKUP(Бланк!$M$18,Цены[#All],V285,0)="Ошибка"),"Ошибка",IF(Бланк!$C$29=W285,HLOOKUP(Бланк!$M$18,Цены[#All],V285,0)*Исходные!$AI$4,"")),"")</f>
        <v/>
      </c>
      <c r="Z285" s="32">
        <f t="shared" si="141"/>
        <v>283</v>
      </c>
      <c r="AA285" s="10" t="str">
        <f t="shared" si="212"/>
        <v>Окно Подъезд.без решёт.</v>
      </c>
      <c r="AB285" s="97" t="str">
        <f>IF(Бланк!$C$45=AA285,IF(OR(Исходные!$AI$5="Ошибка",HLOOKUP(Бланк!$M$34,Цены[#All],Z285,0)="Ошибка"),"Ошибка",IF(Бланк!$C$45=AA285,HLOOKUP(Бланк!$M$34,Цены[#All],Z285,0)*Исходные!$AI$5,"")),"")</f>
        <v/>
      </c>
    </row>
    <row r="286" spans="1:28" ht="15.75">
      <c r="A286" s="39">
        <f t="shared" si="245"/>
        <v>284</v>
      </c>
      <c r="B286" s="116" t="s">
        <v>75</v>
      </c>
      <c r="C286" s="9" t="s">
        <v>324</v>
      </c>
      <c r="D286" s="843" t="s">
        <v>1075</v>
      </c>
      <c r="E286" s="165" t="s">
        <v>1075</v>
      </c>
      <c r="F286" s="380">
        <v>154</v>
      </c>
      <c r="G286" s="843" t="s">
        <v>1075</v>
      </c>
      <c r="H286" s="580">
        <f>Цены[[#This Row],[О_2]]</f>
        <v>154</v>
      </c>
      <c r="I286" s="15">
        <f>Цены[[#This Row],[М_1]]</f>
        <v>154</v>
      </c>
      <c r="J286" s="119">
        <f>Цены[[#This Row],[М_1]]</f>
        <v>154</v>
      </c>
      <c r="K286" s="154">
        <f>Цены[[#This Row],[М_2]]</f>
        <v>154</v>
      </c>
      <c r="L286" s="587"/>
      <c r="M286" s="75">
        <f t="shared" si="233"/>
        <v>284</v>
      </c>
      <c r="N286" s="594" t="s">
        <v>1088</v>
      </c>
      <c r="O286" s="583" t="str">
        <f t="shared" si="242"/>
        <v/>
      </c>
      <c r="P286" s="583" t="str">
        <f t="shared" si="243"/>
        <v/>
      </c>
      <c r="Q286" s="617" t="str">
        <f t="shared" si="244"/>
        <v/>
      </c>
      <c r="R286" s="61"/>
      <c r="S286" s="32">
        <f>Цена!A286</f>
        <v>284</v>
      </c>
      <c r="T286" s="63" t="str">
        <f>Цена!C286</f>
        <v>Окно Д с решёткой</v>
      </c>
      <c r="U286" s="97" t="str">
        <f>IF(Бланк!$C$13=T286,IF(OR(Исходные!$AI$3="Ошибка",HLOOKUP(Бланк!$M$2,Цены[#All],S286,0)="Ошибка"),"Ошибка",HLOOKUP(Бланк!$M$2,Цены[#All],S286,0)*Исходные!$AI$3),"")</f>
        <v/>
      </c>
      <c r="V286" s="32">
        <f t="shared" si="181"/>
        <v>284</v>
      </c>
      <c r="W286" s="10" t="str">
        <f t="shared" si="211"/>
        <v>Окно Д с решёткой</v>
      </c>
      <c r="X286" s="97" t="str">
        <f>IF(Бланк!$C$29=W286,IF(OR(Исходные!$AI$4="Ошибка",HLOOKUP(Бланк!$M$18,Цены[#All],V286,0)="Ошибка"),"Ошибка",IF(Бланк!$C$29=W286,HLOOKUP(Бланк!$M$18,Цены[#All],V286,0)*Исходные!$AI$4,"")),"")</f>
        <v/>
      </c>
      <c r="Z286" s="32">
        <f t="shared" si="141"/>
        <v>284</v>
      </c>
      <c r="AA286" s="10" t="str">
        <f t="shared" si="212"/>
        <v>Окно Д с решёткой</v>
      </c>
      <c r="AB286" s="97" t="str">
        <f>IF(Бланк!$C$45=AA286,IF(OR(Исходные!$AI$5="Ошибка",HLOOKUP(Бланк!$M$34,Цены[#All],Z286,0)="Ошибка"),"Ошибка",IF(Бланк!$C$45=AA286,HLOOKUP(Бланк!$M$34,Цены[#All],Z286,0)*Исходные!$AI$5,"")),"")</f>
        <v/>
      </c>
    </row>
    <row r="287" spans="1:28" ht="15.75">
      <c r="A287" s="39">
        <f t="shared" si="245"/>
        <v>285</v>
      </c>
      <c r="B287" s="116"/>
      <c r="C287" s="9" t="s">
        <v>325</v>
      </c>
      <c r="D287" s="843" t="s">
        <v>1075</v>
      </c>
      <c r="E287" s="165" t="s">
        <v>1075</v>
      </c>
      <c r="F287" s="380">
        <v>86</v>
      </c>
      <c r="G287" s="843" t="s">
        <v>1075</v>
      </c>
      <c r="H287" s="580">
        <f>Цены[[#This Row],[О_2]]</f>
        <v>86</v>
      </c>
      <c r="I287" s="15">
        <f>Цены[[#This Row],[М_1]]</f>
        <v>86</v>
      </c>
      <c r="J287" s="119">
        <f>Цены[[#This Row],[М_2]]</f>
        <v>86</v>
      </c>
      <c r="K287" s="154">
        <f>Цены[[#This Row],[М_2]]</f>
        <v>86</v>
      </c>
      <c r="L287" s="587"/>
      <c r="M287" s="75">
        <f t="shared" si="233"/>
        <v>285</v>
      </c>
      <c r="N287" s="594" t="s">
        <v>1088</v>
      </c>
      <c r="O287" s="583" t="str">
        <f t="shared" si="242"/>
        <v/>
      </c>
      <c r="P287" s="583" t="str">
        <f t="shared" si="243"/>
        <v/>
      </c>
      <c r="Q287" s="617" t="str">
        <f t="shared" si="244"/>
        <v/>
      </c>
      <c r="R287" s="61"/>
      <c r="S287" s="99">
        <f>Цена!A287</f>
        <v>285</v>
      </c>
      <c r="T287" s="63" t="str">
        <f>Цена!C287</f>
        <v>Окно Д без решётки</v>
      </c>
      <c r="U287" s="97" t="str">
        <f>IF(Бланк!$C$13=T287,IF(OR(Исходные!$AI$3="Ошибка",HLOOKUP(Бланк!$M$2,Цены[#All],S287,0)="Ошибка"),"Ошибка",HLOOKUP(Бланк!$M$2,Цены[#All],S287,0)*Исходные!$AI$3),"")</f>
        <v/>
      </c>
      <c r="V287" s="32">
        <f t="shared" si="181"/>
        <v>285</v>
      </c>
      <c r="W287" s="10" t="str">
        <f t="shared" si="211"/>
        <v>Окно Д без решётки</v>
      </c>
      <c r="X287" s="97" t="str">
        <f>IF(Бланк!$C$29=W287,IF(OR(Исходные!$AI$4="Ошибка",HLOOKUP(Бланк!$M$18,Цены[#All],V287,0)="Ошибка"),"Ошибка",IF(Бланк!$C$29=W287,HLOOKUP(Бланк!$M$18,Цены[#All],V287,0)*Исходные!$AI$4,"")),"")</f>
        <v/>
      </c>
      <c r="Z287" s="32">
        <f t="shared" si="141"/>
        <v>285</v>
      </c>
      <c r="AA287" s="10" t="str">
        <f t="shared" si="212"/>
        <v>Окно Д без решётки</v>
      </c>
      <c r="AB287" s="97" t="str">
        <f>IF(Бланк!$C$45=AA287,IF(OR(Исходные!$AI$5="Ошибка",HLOOKUP(Бланк!$M$34,Цены[#All],Z287,0)="Ошибка"),"Ошибка",IF(Бланк!$C$45=AA287,HLOOKUP(Бланк!$M$34,Цены[#All],Z287,0)*Исходные!$AI$5,"")),"")</f>
        <v/>
      </c>
    </row>
    <row r="288" spans="1:28" ht="15.75">
      <c r="A288" s="39">
        <f t="shared" si="245"/>
        <v>286</v>
      </c>
      <c r="B288" s="116" t="s">
        <v>76</v>
      </c>
      <c r="C288" s="9" t="s">
        <v>326</v>
      </c>
      <c r="D288" s="843" t="s">
        <v>1075</v>
      </c>
      <c r="E288" s="165" t="s">
        <v>1075</v>
      </c>
      <c r="F288" s="300">
        <f>139+5</f>
        <v>144</v>
      </c>
      <c r="G288" s="843" t="s">
        <v>1075</v>
      </c>
      <c r="H288" s="580">
        <f>Цены[[#This Row],[О_2]]</f>
        <v>144</v>
      </c>
      <c r="I288" s="15">
        <f>Цены[[#This Row],[М_1]]</f>
        <v>144</v>
      </c>
      <c r="J288" s="119">
        <f>Цены[[#This Row],[М_2]]</f>
        <v>144</v>
      </c>
      <c r="K288" s="154">
        <f>Цены[[#This Row],[М_3]]</f>
        <v>144</v>
      </c>
      <c r="L288" s="587"/>
      <c r="M288" s="75">
        <f t="shared" si="233"/>
        <v>286</v>
      </c>
      <c r="N288" s="594" t="s">
        <v>1088</v>
      </c>
      <c r="O288" s="583" t="str">
        <f t="shared" si="242"/>
        <v/>
      </c>
      <c r="P288" s="583" t="str">
        <f t="shared" si="243"/>
        <v/>
      </c>
      <c r="Q288" s="617" t="str">
        <f t="shared" si="244"/>
        <v/>
      </c>
      <c r="R288" s="61"/>
      <c r="S288" s="99">
        <f>Цена!A288</f>
        <v>286</v>
      </c>
      <c r="T288" s="63" t="str">
        <f>Цена!C288</f>
        <v>Окно Е с решёткой</v>
      </c>
      <c r="U288" s="97" t="str">
        <f>IF(Бланк!$C$13=T288,IF(OR(Исходные!$AI$3="Ошибка",HLOOKUP(Бланк!$M$2,Цены[#All],S288,0)="Ошибка"),"Ошибка",HLOOKUP(Бланк!$M$2,Цены[#All],S288,0)*Исходные!$AI$3),"")</f>
        <v/>
      </c>
      <c r="V288" s="32">
        <f t="shared" si="181"/>
        <v>286</v>
      </c>
      <c r="W288" s="10" t="str">
        <f t="shared" si="211"/>
        <v>Окно Е с решёткой</v>
      </c>
      <c r="X288" s="97" t="str">
        <f>IF(Бланк!$C$29=W288,IF(OR(Исходные!$AI$4="Ошибка",HLOOKUP(Бланк!$M$18,Цены[#All],V288,0)="Ошибка"),"Ошибка",IF(Бланк!$C$29=W288,HLOOKUP(Бланк!$M$18,Цены[#All],V288,0)*Исходные!$AI$4,"")),"")</f>
        <v/>
      </c>
      <c r="Z288" s="32">
        <f t="shared" si="141"/>
        <v>286</v>
      </c>
      <c r="AA288" s="10" t="str">
        <f t="shared" si="212"/>
        <v>Окно Е с решёткой</v>
      </c>
      <c r="AB288" s="97" t="str">
        <f>IF(Бланк!$C$45=AA288,IF(OR(Исходные!$AI$5="Ошибка",HLOOKUP(Бланк!$M$34,Цены[#All],Z288,0)="Ошибка"),"Ошибка",IF(Бланк!$C$45=AA288,HLOOKUP(Бланк!$M$34,Цены[#All],Z288,0)*Исходные!$AI$5,"")),"")</f>
        <v/>
      </c>
    </row>
    <row r="289" spans="1:28" ht="15.75">
      <c r="A289" s="39">
        <f t="shared" si="245"/>
        <v>287</v>
      </c>
      <c r="B289" s="116"/>
      <c r="C289" s="9" t="s">
        <v>327</v>
      </c>
      <c r="D289" s="843" t="s">
        <v>1075</v>
      </c>
      <c r="E289" s="165" t="s">
        <v>1075</v>
      </c>
      <c r="F289" s="300">
        <v>86</v>
      </c>
      <c r="G289" s="843" t="s">
        <v>1075</v>
      </c>
      <c r="H289" s="580">
        <f>Цены[[#This Row],[О_2]]</f>
        <v>86</v>
      </c>
      <c r="I289" s="15">
        <f>Цены[[#This Row],[М_1]]</f>
        <v>86</v>
      </c>
      <c r="J289" s="119">
        <v>82</v>
      </c>
      <c r="K289" s="154">
        <v>82</v>
      </c>
      <c r="L289" s="587"/>
      <c r="M289" s="75">
        <f t="shared" si="233"/>
        <v>287</v>
      </c>
      <c r="N289" s="594" t="s">
        <v>1088</v>
      </c>
      <c r="O289" s="583" t="str">
        <f t="shared" si="242"/>
        <v/>
      </c>
      <c r="P289" s="583" t="str">
        <f t="shared" si="243"/>
        <v/>
      </c>
      <c r="Q289" s="617" t="str">
        <f t="shared" si="244"/>
        <v/>
      </c>
      <c r="R289" s="61"/>
      <c r="S289" s="99">
        <f>Цена!A289</f>
        <v>287</v>
      </c>
      <c r="T289" s="63" t="str">
        <f>Цена!C289</f>
        <v>Окно Е без решётки</v>
      </c>
      <c r="U289" s="97" t="str">
        <f>IF(Бланк!$C$13=T289,IF(OR(Исходные!$AI$3="Ошибка",HLOOKUP(Бланк!$M$2,Цены[#All],S289,0)="Ошибка"),"Ошибка",HLOOKUP(Бланк!$M$2,Цены[#All],S289,0)*Исходные!$AI$3),"")</f>
        <v/>
      </c>
      <c r="V289" s="32">
        <f t="shared" si="181"/>
        <v>287</v>
      </c>
      <c r="W289" s="10" t="str">
        <f t="shared" si="211"/>
        <v>Окно Е без решётки</v>
      </c>
      <c r="X289" s="97" t="str">
        <f>IF(Бланк!$C$29=W289,IF(OR(Исходные!$AI$4="Ошибка",HLOOKUP(Бланк!$M$18,Цены[#All],V289,0)="Ошибка"),"Ошибка",IF(Бланк!$C$29=W289,HLOOKUP(Бланк!$M$18,Цены[#All],V289,0)*Исходные!$AI$4,"")),"")</f>
        <v/>
      </c>
      <c r="Z289" s="32">
        <f t="shared" si="141"/>
        <v>287</v>
      </c>
      <c r="AA289" s="10" t="str">
        <f t="shared" si="212"/>
        <v>Окно Е без решётки</v>
      </c>
      <c r="AB289" s="97" t="str">
        <f>IF(Бланк!$C$45=AA289,IF(OR(Исходные!$AI$5="Ошибка",HLOOKUP(Бланк!$M$34,Цены[#All],Z289,0)="Ошибка"),"Ошибка",IF(Бланк!$C$45=AA289,HLOOKUP(Бланк!$M$34,Цены[#All],Z289,0)*Исходные!$AI$5,"")),"")</f>
        <v/>
      </c>
    </row>
    <row r="290" spans="1:28" ht="15.75">
      <c r="A290" s="39">
        <f t="shared" si="245"/>
        <v>288</v>
      </c>
      <c r="B290" s="116" t="s">
        <v>77</v>
      </c>
      <c r="C290" s="9" t="s">
        <v>328</v>
      </c>
      <c r="D290" s="843" t="s">
        <v>1075</v>
      </c>
      <c r="E290" s="165" t="s">
        <v>1075</v>
      </c>
      <c r="F290" s="380">
        <f>F291+340/3.3*1.2</f>
        <v>253.63636363636363</v>
      </c>
      <c r="G290" s="843" t="s">
        <v>1075</v>
      </c>
      <c r="H290" s="580">
        <f>Цены[[#This Row],[О_2]]</f>
        <v>253.63636363636363</v>
      </c>
      <c r="I290" s="15">
        <f>Цены[[#This Row],[О_2]]</f>
        <v>253.63636363636363</v>
      </c>
      <c r="J290" s="119">
        <f>Цены[[#This Row],[М_2]]</f>
        <v>253.63636363636363</v>
      </c>
      <c r="K290" s="154">
        <f>Цены[[#This Row],[М_3]]</f>
        <v>253.63636363636363</v>
      </c>
      <c r="L290" s="587"/>
      <c r="M290" s="75">
        <f t="shared" si="233"/>
        <v>288</v>
      </c>
      <c r="N290" s="594" t="s">
        <v>1088</v>
      </c>
      <c r="O290" s="583" t="str">
        <f>IF(U290=$V$1,"Ошибка-1","")</f>
        <v/>
      </c>
      <c r="P290" s="583" t="str">
        <f t="shared" si="243"/>
        <v/>
      </c>
      <c r="Q290" s="617" t="str">
        <f t="shared" si="244"/>
        <v/>
      </c>
      <c r="R290" s="61"/>
      <c r="S290" s="99">
        <f>Цена!A290</f>
        <v>288</v>
      </c>
      <c r="T290" s="63" t="str">
        <f>Цена!C290</f>
        <v>Окно Ч с решёткой</v>
      </c>
      <c r="U290" s="97" t="str">
        <f>IF(Бланк!$C$13=T290,IF(OR(Исходные!$AI$3="Ошибка",HLOOKUP(Бланк!$M$2,Цены[#All],S290,0)="Ошибка"),"Ошибка",HLOOKUP(Бланк!$M$2,Цены[#All],S290,0)*Исходные!$AI$3),"")</f>
        <v/>
      </c>
      <c r="V290" s="32">
        <f t="shared" si="181"/>
        <v>288</v>
      </c>
      <c r="W290" s="10" t="str">
        <f t="shared" si="211"/>
        <v>Окно Ч с решёткой</v>
      </c>
      <c r="X290" s="97" t="str">
        <f>IF(Бланк!$C$29=W290,IF(OR(Исходные!$AI$4="Ошибка",HLOOKUP(Бланк!$M$18,Цены[#All],V290,0)="Ошибка"),"Ошибка",IF(Бланк!$C$29=W290,HLOOKUP(Бланк!$M$18,Цены[#All],V290,0)*Исходные!$AI$4,"")),"")</f>
        <v/>
      </c>
      <c r="Z290" s="32">
        <f t="shared" si="141"/>
        <v>288</v>
      </c>
      <c r="AA290" s="10" t="str">
        <f t="shared" si="212"/>
        <v>Окно Ч с решёткой</v>
      </c>
      <c r="AB290" s="97" t="str">
        <f>IF(Бланк!$C$45=AA290,IF(OR(Исходные!$AI$5="Ошибка",HLOOKUP(Бланк!$M$34,Цены[#All],Z290,0)="Ошибка"),"Ошибка",IF(Бланк!$C$45=AA290,HLOOKUP(Бланк!$M$34,Цены[#All],Z290,0)*Исходные!$AI$5,"")),"")</f>
        <v/>
      </c>
    </row>
    <row r="291" spans="1:28" ht="15.75">
      <c r="A291" s="39">
        <f t="shared" si="245"/>
        <v>289</v>
      </c>
      <c r="B291" s="116"/>
      <c r="C291" s="9" t="s">
        <v>329</v>
      </c>
      <c r="D291" s="843" t="s">
        <v>1075</v>
      </c>
      <c r="E291" s="165" t="s">
        <v>1075</v>
      </c>
      <c r="F291" s="380">
        <v>130</v>
      </c>
      <c r="G291" s="843" t="s">
        <v>1075</v>
      </c>
      <c r="H291" s="580">
        <f>Цены[[#This Row],[О_2]]</f>
        <v>130</v>
      </c>
      <c r="I291" s="15">
        <f>Цены[[#This Row],[О_2]]</f>
        <v>130</v>
      </c>
      <c r="J291" s="119">
        <f>Цены[[#This Row],[М_2]]</f>
        <v>130</v>
      </c>
      <c r="K291" s="154">
        <f>Цены[[#This Row],[М_3]]</f>
        <v>130</v>
      </c>
      <c r="L291" s="587"/>
      <c r="M291" s="75">
        <f t="shared" si="233"/>
        <v>289</v>
      </c>
      <c r="N291" s="594" t="s">
        <v>1088</v>
      </c>
      <c r="O291" s="583" t="str">
        <f t="shared" si="242"/>
        <v/>
      </c>
      <c r="P291" s="583" t="str">
        <f t="shared" si="243"/>
        <v/>
      </c>
      <c r="Q291" s="617" t="str">
        <f t="shared" si="244"/>
        <v/>
      </c>
      <c r="R291" s="61"/>
      <c r="S291" s="99">
        <f>Цена!A291</f>
        <v>289</v>
      </c>
      <c r="T291" s="63" t="str">
        <f>Цена!C291</f>
        <v>Окно Ч без решётки</v>
      </c>
      <c r="U291" s="97" t="str">
        <f>IF(Бланк!$C$13=T291,IF(OR(Исходные!$AI$3="Ошибка",HLOOKUP(Бланк!$M$2,Цены[#All],S291,0)="Ошибка"),"Ошибка",HLOOKUP(Бланк!$M$2,Цены[#All],S291,0)*Исходные!$AI$3),"")</f>
        <v/>
      </c>
      <c r="V291" s="32">
        <f t="shared" si="181"/>
        <v>289</v>
      </c>
      <c r="W291" s="10" t="str">
        <f t="shared" si="211"/>
        <v>Окно Ч без решётки</v>
      </c>
      <c r="X291" s="97" t="str">
        <f>IF(Бланк!$C$29=W291,IF(OR(Исходные!$AI$4="Ошибка",HLOOKUP(Бланк!$M$18,Цены[#All],V291,0)="Ошибка"),"Ошибка",IF(Бланк!$C$29=W291,HLOOKUP(Бланк!$M$18,Цены[#All],V291,0)*Исходные!$AI$4,"")),"")</f>
        <v/>
      </c>
      <c r="Z291" s="32">
        <f t="shared" ref="Z291:Z298" si="298">S291</f>
        <v>289</v>
      </c>
      <c r="AA291" s="10" t="str">
        <f t="shared" si="212"/>
        <v>Окно Ч без решётки</v>
      </c>
      <c r="AB291" s="97" t="str">
        <f>IF(Бланк!$C$45=AA291,IF(OR(Исходные!$AI$5="Ошибка",HLOOKUP(Бланк!$M$34,Цены[#All],Z291,0)="Ошибка"),"Ошибка",IF(Бланк!$C$45=AA291,HLOOKUP(Бланк!$M$34,Цены[#All],Z291,0)*Исходные!$AI$5,"")),"")</f>
        <v/>
      </c>
    </row>
    <row r="292" spans="1:28" ht="15.75">
      <c r="A292" s="39">
        <f t="shared" si="245"/>
        <v>290</v>
      </c>
      <c r="B292" s="116" t="s">
        <v>529</v>
      </c>
      <c r="C292" s="9" t="str">
        <f>B292</f>
        <v>Окно П + тонир.</v>
      </c>
      <c r="D292" s="843" t="s">
        <v>1075</v>
      </c>
      <c r="E292" s="165" t="s">
        <v>1075</v>
      </c>
      <c r="F292" s="380">
        <v>58</v>
      </c>
      <c r="G292" s="843" t="s">
        <v>1075</v>
      </c>
      <c r="H292" s="580">
        <f>Цены[[#This Row],[О_2]]</f>
        <v>58</v>
      </c>
      <c r="I292" s="15">
        <f>Цены[[#This Row],[О_2]]</f>
        <v>58</v>
      </c>
      <c r="J292" s="119">
        <v>55</v>
      </c>
      <c r="K292" s="154">
        <v>55</v>
      </c>
      <c r="L292" s="587"/>
      <c r="M292" s="75">
        <f t="shared" si="233"/>
        <v>290</v>
      </c>
      <c r="N292" s="594" t="s">
        <v>1088</v>
      </c>
      <c r="O292" s="583" t="str">
        <f t="shared" si="242"/>
        <v/>
      </c>
      <c r="P292" s="583" t="str">
        <f t="shared" si="243"/>
        <v/>
      </c>
      <c r="Q292" s="617" t="str">
        <f t="shared" si="244"/>
        <v/>
      </c>
      <c r="S292" s="99">
        <f>Цена!A292</f>
        <v>290</v>
      </c>
      <c r="T292" s="63" t="str">
        <f>Цена!C292</f>
        <v>Окно П + тонир.</v>
      </c>
      <c r="U292" s="97" t="str">
        <f>IF(Бланк!$C$13=T292,IF(OR(Исходные!$AI$3="Ошибка",HLOOKUP(Бланк!$M$2,Цены[#All],S292,0)="Ошибка"),"Ошибка",HLOOKUP(Бланк!$M$2,Цены[#All],S292,0)*Исходные!$AI$3),"")</f>
        <v/>
      </c>
      <c r="V292" s="32">
        <f t="shared" si="181"/>
        <v>290</v>
      </c>
      <c r="W292" s="10" t="str">
        <f>T292</f>
        <v>Окно П + тонир.</v>
      </c>
      <c r="X292" s="97" t="str">
        <f>IF(Бланк!$C$29=W292,IF(OR(Исходные!$AI$4="Ошибка",HLOOKUP(Бланк!$M$18,Цены[#All],V292,0)="Ошибка"),"Ошибка",IF(Бланк!$C$29=W292,HLOOKUP(Бланк!$M$18,Цены[#All],V292,0)*Исходные!$AI$4,"")),"")</f>
        <v/>
      </c>
      <c r="Y292" s="39"/>
      <c r="Z292" s="32">
        <f>S292</f>
        <v>290</v>
      </c>
      <c r="AA292" s="10" t="str">
        <f>T292</f>
        <v>Окно П + тонир.</v>
      </c>
      <c r="AB292" s="97" t="str">
        <f>IF(Бланк!$C$45=AA292,IF(OR(Исходные!$AI$5="Ошибка",HLOOKUP(Бланк!$M$34,Цены[#All],Z292,0)="Ошибка"),"Ошибка",IF(Бланк!$C$45=AA292,HLOOKUP(Бланк!$M$34,Цены[#All],Z292,0)*Исходные!$AI$5,"")),"")</f>
        <v/>
      </c>
    </row>
    <row r="293" spans="1:28" ht="15.75">
      <c r="A293" s="39">
        <f t="shared" si="245"/>
        <v>291</v>
      </c>
      <c r="B293" s="117" t="s">
        <v>898</v>
      </c>
      <c r="C293" s="9" t="str">
        <f>Цены[[#This Row],[Столбец1]]</f>
        <v>Окно Б</v>
      </c>
      <c r="D293" s="843" t="s">
        <v>1075</v>
      </c>
      <c r="E293" s="165" t="s">
        <v>1075</v>
      </c>
      <c r="F293" s="843" t="s">
        <v>1075</v>
      </c>
      <c r="G293" s="843" t="s">
        <v>1075</v>
      </c>
      <c r="H293" s="580" t="str">
        <f>Цены[[#This Row],[О_2]]</f>
        <v>Ошибка</v>
      </c>
      <c r="I293" s="380">
        <v>116</v>
      </c>
      <c r="J293" s="119">
        <f>Цены[[#This Row],[М_2]]</f>
        <v>116</v>
      </c>
      <c r="K293" s="165">
        <f>Цены[[#This Row],[М_3]]</f>
        <v>116</v>
      </c>
      <c r="L293" s="75"/>
      <c r="M293" s="75">
        <f t="shared" si="233"/>
        <v>291</v>
      </c>
      <c r="N293" s="594" t="s">
        <v>1088</v>
      </c>
      <c r="O293" s="583" t="str">
        <f t="shared" si="242"/>
        <v/>
      </c>
      <c r="P293" s="583" t="str">
        <f t="shared" si="243"/>
        <v/>
      </c>
      <c r="Q293" s="617" t="str">
        <f t="shared" si="244"/>
        <v/>
      </c>
      <c r="S293" s="32">
        <f>Цена!A293</f>
        <v>291</v>
      </c>
      <c r="T293" s="10" t="str">
        <f>Цена!C293</f>
        <v>Окно Б</v>
      </c>
      <c r="U293" s="97" t="str">
        <f>IF(Бланк!$C$13=T293,IF(OR(Исходные!$AI$3="Ошибка",HLOOKUP(Бланк!$M$2,Цены[#All],S293,0)="Ошибка"),"Ошибка",HLOOKUP(Бланк!$M$2,Цены[#All],S293,0)*Исходные!$AI$3),"")</f>
        <v/>
      </c>
      <c r="V293" s="32">
        <f t="shared" si="181"/>
        <v>291</v>
      </c>
      <c r="W293" s="10" t="str">
        <f t="shared" si="211"/>
        <v>Окно Б</v>
      </c>
      <c r="X293" s="97" t="str">
        <f>IF(Бланк!$C$29=W293,IF(OR(Исходные!$AI$4="Ошибка",HLOOKUP(Бланк!$M$18,Цены[#All],V293,0)="Ошибка"),"Ошибка",IF(Бланк!$C$29=W293,HLOOKUP(Бланк!$M$18,Цены[#All],V293,0)*Исходные!$AI$4,"")),"")</f>
        <v/>
      </c>
      <c r="Z293" s="32">
        <f t="shared" si="298"/>
        <v>291</v>
      </c>
      <c r="AA293" s="10" t="str">
        <f t="shared" si="212"/>
        <v>Окно Б</v>
      </c>
      <c r="AB293" s="97" t="str">
        <f>IF(Бланк!$C$45=AA293,IF(OR(Исходные!$AI$5="Ошибка",HLOOKUP(Бланк!$M$34,Цены[#All],Z293,0)="Ошибка"),"Ошибка",IF(Бланк!$C$45=AA293,HLOOKUP(Бланк!$M$34,Цены[#All],Z293,0)*Исходные!$AI$5,"")),"")</f>
        <v/>
      </c>
    </row>
    <row r="294" spans="1:28" ht="15.75">
      <c r="A294" s="39">
        <f t="shared" si="245"/>
        <v>292</v>
      </c>
      <c r="B294" s="117" t="s">
        <v>899</v>
      </c>
      <c r="C294" s="9" t="str">
        <f>Цены[[#This Row],[Столбец1]]</f>
        <v>Окно Б + реш.+тонир-ка</v>
      </c>
      <c r="D294" s="843" t="s">
        <v>1075</v>
      </c>
      <c r="E294" s="165" t="s">
        <v>1075</v>
      </c>
      <c r="F294" s="843" t="s">
        <v>1075</v>
      </c>
      <c r="G294" s="843" t="s">
        <v>1075</v>
      </c>
      <c r="H294" s="580" t="str">
        <f>Цены[[#This Row],[О_2]]</f>
        <v>Ошибка</v>
      </c>
      <c r="I294" s="380">
        <v>208</v>
      </c>
      <c r="J294" s="119">
        <f>Цены[[#This Row],[М_2]]</f>
        <v>208</v>
      </c>
      <c r="K294" s="165">
        <f>Цены[[#This Row],[М_3]]</f>
        <v>208</v>
      </c>
      <c r="L294" s="75"/>
      <c r="M294" s="75">
        <f t="shared" si="233"/>
        <v>292</v>
      </c>
      <c r="N294" s="594" t="s">
        <v>1088</v>
      </c>
      <c r="O294" s="583" t="str">
        <f t="shared" si="242"/>
        <v/>
      </c>
      <c r="P294" s="583" t="str">
        <f t="shared" si="243"/>
        <v/>
      </c>
      <c r="Q294" s="617" t="str">
        <f t="shared" si="244"/>
        <v/>
      </c>
      <c r="S294" s="32">
        <f>Цена!A294</f>
        <v>292</v>
      </c>
      <c r="T294" s="10" t="str">
        <f>Цена!C294</f>
        <v>Окно Б + реш.+тонир-ка</v>
      </c>
      <c r="U294" s="97" t="str">
        <f>IF(Бланк!$C$13=T294,IF(OR(Исходные!$AI$3="Ошибка",HLOOKUP(Бланк!$M$2,Цены[#All],S294,0)="Ошибка"),"Ошибка",HLOOKUP(Бланк!$M$2,Цены[#All],S294,0)*Исходные!$AI$3),"")</f>
        <v/>
      </c>
      <c r="V294" s="32">
        <f t="shared" si="181"/>
        <v>292</v>
      </c>
      <c r="W294" s="10" t="str">
        <f t="shared" si="211"/>
        <v>Окно Б + реш.+тонир-ка</v>
      </c>
      <c r="X294" s="97" t="str">
        <f>IF(Бланк!$C$29=W294,IF(OR(Исходные!$AI$4="Ошибка",HLOOKUP(Бланк!$M$18,Цены[#All],V294,0)="Ошибка"),"Ошибка",IF(Бланк!$C$29=W294,HLOOKUP(Бланк!$M$18,Цены[#All],V294,0)*Исходные!$AI$4,"")),"")</f>
        <v/>
      </c>
      <c r="Z294" s="32">
        <f t="shared" si="298"/>
        <v>292</v>
      </c>
      <c r="AA294" s="10" t="str">
        <f t="shared" si="212"/>
        <v>Окно Б + реш.+тонир-ка</v>
      </c>
      <c r="AB294" s="97" t="str">
        <f>IF(Бланк!$C$45=AA294,IF(OR(Исходные!$AI$5="Ошибка",HLOOKUP(Бланк!$M$34,Цены[#All],Z294,0)="Ошибка"),"Ошибка",IF(Бланк!$C$45=AA294,HLOOKUP(Бланк!$M$34,Цены[#All],Z294,0)*Исходные!$AI$5,"")),"")</f>
        <v/>
      </c>
    </row>
    <row r="295" spans="1:28" s="39" customFormat="1" ht="15.75">
      <c r="A295" s="39">
        <f t="shared" si="245"/>
        <v>293</v>
      </c>
      <c r="B295" s="664" t="s">
        <v>1065</v>
      </c>
      <c r="C295" s="9" t="str">
        <f>Цены[[#This Row],[Столбец1]]</f>
        <v>Окно С</v>
      </c>
      <c r="D295" s="843" t="s">
        <v>1075</v>
      </c>
      <c r="E295" s="165" t="s">
        <v>1075</v>
      </c>
      <c r="F295" s="300">
        <v>93</v>
      </c>
      <c r="G295" s="580">
        <f>Цены[[#This Row],[О_2]]</f>
        <v>93</v>
      </c>
      <c r="H295" s="580">
        <f>Цены[[#This Row],[О_2]]</f>
        <v>93</v>
      </c>
      <c r="I295" s="15">
        <f>Цены[[#This Row],[О_2]]</f>
        <v>93</v>
      </c>
      <c r="J295" s="119">
        <f>Цены[[#This Row],[М_2]]</f>
        <v>93</v>
      </c>
      <c r="K295" s="165">
        <f>Цены[[#This Row],[М_3]]</f>
        <v>93</v>
      </c>
      <c r="L295" s="75"/>
      <c r="M295" s="75">
        <f t="shared" si="233"/>
        <v>293</v>
      </c>
      <c r="N295" s="594" t="s">
        <v>1088</v>
      </c>
      <c r="O295" s="583" t="str">
        <f t="shared" si="242"/>
        <v/>
      </c>
      <c r="P295" s="583" t="str">
        <f t="shared" si="243"/>
        <v/>
      </c>
      <c r="Q295" s="617" t="str">
        <f t="shared" si="244"/>
        <v/>
      </c>
      <c r="S295" s="32">
        <f>Цена!A295</f>
        <v>293</v>
      </c>
      <c r="T295" s="10" t="str">
        <f>Цена!C295</f>
        <v>Окно С</v>
      </c>
      <c r="U295" s="97" t="str">
        <f>IF(Бланк!$C$13=T295,IF(OR(Исходные!$AI$3="Ошибка",HLOOKUP(Бланк!$M$2,Цены[#All],S295,0)="Ошибка"),"Ошибка",HLOOKUP(Бланк!$M$2,Цены[#All],S295,0)*Исходные!$AI$3),"")</f>
        <v/>
      </c>
      <c r="V295" s="32">
        <f t="shared" si="181"/>
        <v>293</v>
      </c>
      <c r="W295" s="10" t="str">
        <f t="shared" ref="W295" si="299">T295</f>
        <v>Окно С</v>
      </c>
      <c r="X295" s="97" t="str">
        <f>IF(Бланк!$C$29=W295,IF(OR(Исходные!$AI$4="Ошибка",HLOOKUP(Бланк!$M$18,Цены[#All],V295,0)="Ошибка"),"Ошибка",IF(Бланк!$C$29=W295,HLOOKUP(Бланк!$M$18,Цены[#All],V295,0)*Исходные!$AI$4,"")),"")</f>
        <v/>
      </c>
      <c r="Z295" s="32">
        <f t="shared" ref="Z295" si="300">S295</f>
        <v>293</v>
      </c>
      <c r="AA295" s="10" t="str">
        <f t="shared" ref="AA295" si="301">T295</f>
        <v>Окно С</v>
      </c>
      <c r="AB295" s="97" t="str">
        <f>IF(Бланк!$C$45=AA295,IF(OR(Исходные!$AI$5="Ошибка",HLOOKUP(Бланк!$M$34,Цены[#All],Z295,0)="Ошибка"),"Ошибка",IF(Бланк!$C$45=AA295,HLOOKUP(Бланк!$M$34,Цены[#All],Z295,0)*Исходные!$AI$5,"")),"")</f>
        <v/>
      </c>
    </row>
    <row r="296" spans="1:28" ht="15.75">
      <c r="A296" s="39">
        <f t="shared" si="245"/>
        <v>294</v>
      </c>
      <c r="B296" s="664" t="s">
        <v>1064</v>
      </c>
      <c r="C296" s="9" t="str">
        <f>Цены[[#This Row],[Столбец1]]</f>
        <v>Окно С-1</v>
      </c>
      <c r="D296" s="843" t="s">
        <v>1075</v>
      </c>
      <c r="E296" s="165" t="s">
        <v>1075</v>
      </c>
      <c r="F296" s="300">
        <v>48</v>
      </c>
      <c r="G296" s="843" t="s">
        <v>1075</v>
      </c>
      <c r="H296" s="580">
        <f>Цены[[#This Row],[О_2]]</f>
        <v>48</v>
      </c>
      <c r="I296" s="843">
        <f>Цены[[#This Row],[О_2]]</f>
        <v>48</v>
      </c>
      <c r="J296" s="119">
        <f>Цены[[#This Row],[М_2]]</f>
        <v>48</v>
      </c>
      <c r="K296" s="165">
        <f>Цены[[#This Row],[М_3]]</f>
        <v>48</v>
      </c>
      <c r="L296" s="75"/>
      <c r="M296" s="75">
        <f t="shared" si="233"/>
        <v>294</v>
      </c>
      <c r="N296" s="594" t="s">
        <v>1088</v>
      </c>
      <c r="O296" s="583" t="str">
        <f t="shared" si="242"/>
        <v/>
      </c>
      <c r="P296" s="583" t="str">
        <f t="shared" si="243"/>
        <v/>
      </c>
      <c r="Q296" s="617" t="str">
        <f t="shared" si="244"/>
        <v/>
      </c>
      <c r="S296" s="32">
        <f>Цена!A296</f>
        <v>294</v>
      </c>
      <c r="T296" s="10" t="str">
        <f>Цена!C296</f>
        <v>Окно С-1</v>
      </c>
      <c r="U296" s="97" t="str">
        <f>IF(Бланк!$C$13=T296,IF(OR(Исходные!$AI$3="Ошибка",HLOOKUP(Бланк!$M$2,Цены[#All],S296,0)="Ошибка"),"Ошибка",HLOOKUP(Бланк!$M$2,Цены[#All],S296,0)*Исходные!$AI$3),"")</f>
        <v/>
      </c>
      <c r="V296" s="32">
        <f t="shared" si="181"/>
        <v>294</v>
      </c>
      <c r="W296" s="10" t="str">
        <f t="shared" si="211"/>
        <v>Окно С-1</v>
      </c>
      <c r="X296" s="97" t="str">
        <f>IF(Бланк!$C$29=W296,IF(OR(Исходные!$AI$4="Ошибка",HLOOKUP(Бланк!$M$18,Цены[#All],V296,0)="Ошибка"),"Ошибка",IF(Бланк!$C$29=W296,HLOOKUP(Бланк!$M$18,Цены[#All],V296,0)*Исходные!$AI$4,"")),"")</f>
        <v/>
      </c>
      <c r="Z296" s="32">
        <f t="shared" si="298"/>
        <v>294</v>
      </c>
      <c r="AA296" s="10" t="str">
        <f t="shared" si="212"/>
        <v>Окно С-1</v>
      </c>
      <c r="AB296" s="97" t="str">
        <f>IF(Бланк!$C$45=AA296,IF(OR(Исходные!$AI$5="Ошибка",HLOOKUP(Бланк!$M$34,Цены[#All],Z296,0)="Ошибка"),"Ошибка",IF(Бланк!$C$45=AA296,HLOOKUP(Бланк!$M$34,Цены[#All],Z296,0)*Исходные!$AI$5,"")),"")</f>
        <v/>
      </c>
    </row>
    <row r="297" spans="1:28" ht="15.75">
      <c r="A297" s="39">
        <f t="shared" si="245"/>
        <v>295</v>
      </c>
      <c r="B297" s="664" t="s">
        <v>1062</v>
      </c>
      <c r="C297" s="9" t="str">
        <f>Цены[[#This Row],[Столбец1]]</f>
        <v>Окно С-2</v>
      </c>
      <c r="D297" s="843" t="s">
        <v>1075</v>
      </c>
      <c r="E297" s="165" t="s">
        <v>1075</v>
      </c>
      <c r="F297" s="300">
        <f>F296</f>
        <v>48</v>
      </c>
      <c r="G297" s="843" t="s">
        <v>1075</v>
      </c>
      <c r="H297" s="580">
        <f>Цены[[#This Row],[О_2]]</f>
        <v>48</v>
      </c>
      <c r="I297" s="843">
        <f>Цены[[#This Row],[О_2]]</f>
        <v>48</v>
      </c>
      <c r="J297" s="119">
        <f>Цены[[#This Row],[М_2]]</f>
        <v>48</v>
      </c>
      <c r="K297" s="165">
        <f>Цены[[#This Row],[М_3]]</f>
        <v>48</v>
      </c>
      <c r="L297" s="75"/>
      <c r="M297" s="75">
        <f t="shared" si="233"/>
        <v>295</v>
      </c>
      <c r="N297" s="594" t="str">
        <f>N296</f>
        <v>Окно</v>
      </c>
      <c r="O297" s="583" t="str">
        <f t="shared" si="242"/>
        <v/>
      </c>
      <c r="P297" s="583" t="str">
        <f t="shared" si="243"/>
        <v/>
      </c>
      <c r="Q297" s="617" t="str">
        <f t="shared" si="244"/>
        <v/>
      </c>
      <c r="S297" s="32">
        <f>Цена!A297</f>
        <v>295</v>
      </c>
      <c r="T297" s="10" t="str">
        <f>Цена!C297</f>
        <v>Окно С-2</v>
      </c>
      <c r="U297" s="97" t="str">
        <f>IF(Бланк!$C$13=T297,IF(OR(Исходные!$AI$3="Ошибка",HLOOKUP(Бланк!$M$2,Цены[#All],S297,0)="Ошибка"),"Ошибка",HLOOKUP(Бланк!$M$2,Цены[#All],S297,0)*Исходные!$AI$3),"")</f>
        <v/>
      </c>
      <c r="V297" s="32">
        <f t="shared" si="181"/>
        <v>295</v>
      </c>
      <c r="W297" s="10" t="str">
        <f t="shared" si="211"/>
        <v>Окно С-2</v>
      </c>
      <c r="X297" s="97" t="str">
        <f>IF(Бланк!$C$29=W297,IF(OR(Исходные!$AI$4="Ошибка",HLOOKUP(Бланк!$M$18,Цены[#All],V297,0)="Ошибка"),"Ошибка",IF(Бланк!$C$29=W297,HLOOKUP(Бланк!$M$18,Цены[#All],V297,0)*Исходные!$AI$4,"")),"")</f>
        <v/>
      </c>
      <c r="Y297" s="39"/>
      <c r="Z297" s="32">
        <f t="shared" si="298"/>
        <v>295</v>
      </c>
      <c r="AA297" s="10" t="str">
        <f t="shared" si="212"/>
        <v>Окно С-2</v>
      </c>
      <c r="AB297" s="97" t="str">
        <f>IF(Бланк!$C$45=AA297,IF(OR(Исходные!$AI$5="Ошибка",HLOOKUP(Бланк!$M$34,Цены[#All],Z297,0)="Ошибка"),"Ошибка",IF(Бланк!$C$45=AA297,HLOOKUP(Бланк!$M$34,Цены[#All],Z297,0)*Исходные!$AI$5,"")),"")</f>
        <v/>
      </c>
    </row>
    <row r="298" spans="1:28" s="39" customFormat="1" ht="15.75">
      <c r="A298" s="39">
        <f t="shared" si="245"/>
        <v>296</v>
      </c>
      <c r="B298" s="822" t="s">
        <v>1096</v>
      </c>
      <c r="C298" s="823" t="s">
        <v>1120</v>
      </c>
      <c r="D298" s="843"/>
      <c r="E298" s="165"/>
      <c r="F298" s="300"/>
      <c r="G298" s="843"/>
      <c r="H298" s="580"/>
      <c r="I298" s="843"/>
      <c r="J298" s="119"/>
      <c r="K298" s="165"/>
      <c r="L298" s="75"/>
      <c r="M298" s="75">
        <f t="shared" ref="M298:M299" si="302">A298</f>
        <v>296</v>
      </c>
      <c r="N298" s="599" t="str">
        <f>N296</f>
        <v>Окно</v>
      </c>
      <c r="O298" s="583" t="str">
        <f t="shared" si="242"/>
        <v/>
      </c>
      <c r="P298" s="583" t="str">
        <f t="shared" si="243"/>
        <v/>
      </c>
      <c r="Q298" s="617" t="str">
        <f t="shared" si="244"/>
        <v/>
      </c>
      <c r="S298" s="32">
        <f>Цена!A298</f>
        <v>296</v>
      </c>
      <c r="T298" s="10" t="str">
        <f>Цены[[#This Row],[Столбец1]]</f>
        <v>ОКНО плёнка!!!</v>
      </c>
      <c r="U298" s="97" t="str">
        <f>IF(Исходные!BK3="","",IF(AND(Исходные!V3="ПКТ",OR(Исходные!AU3="_плёнка",Исходные!BD3="_плёнка")),0,""))</f>
        <v/>
      </c>
      <c r="V298" s="32">
        <f t="shared" si="181"/>
        <v>296</v>
      </c>
      <c r="W298" s="10" t="str">
        <f>Цены[[#This Row],[Столбец1]]</f>
        <v>ОКНО плёнка!!!</v>
      </c>
      <c r="X298" s="97" t="str">
        <f>IF(Исходные!BK4="","",IF(AND(Исходные!V4="ПКТ",OR(Исходные!AU4="_плёнка",Исходные!BD4="_плёнка")),0,""))</f>
        <v/>
      </c>
      <c r="Z298" s="32">
        <f t="shared" si="298"/>
        <v>296</v>
      </c>
      <c r="AA298" s="10" t="str">
        <f>Цены[[#This Row],[Столбец1]]</f>
        <v>ОКНО плёнка!!!</v>
      </c>
      <c r="AB298" s="97" t="str">
        <f>IF(Исходные!BK5="","",IF(AND(Исходные!V5="ПКТ",OR(Исходные!AU5="_плёнка",Исходные!BD5="_плёнка")),0,""))</f>
        <v/>
      </c>
    </row>
    <row r="299" spans="1:28" s="39" customFormat="1" ht="15.75">
      <c r="B299" s="625"/>
      <c r="C299" s="667"/>
      <c r="D299" s="842"/>
      <c r="E299" s="601"/>
      <c r="F299" s="578"/>
      <c r="G299" s="842"/>
      <c r="H299" s="602"/>
      <c r="I299" s="842"/>
      <c r="J299" s="128"/>
      <c r="K299" s="601"/>
      <c r="L299" s="75"/>
      <c r="M299" s="75">
        <f t="shared" si="302"/>
        <v>0</v>
      </c>
      <c r="N299" s="599"/>
      <c r="O299" s="583" t="s">
        <v>1076</v>
      </c>
      <c r="P299" s="583" t="s">
        <v>1077</v>
      </c>
      <c r="Q299" s="583" t="s">
        <v>1078</v>
      </c>
      <c r="S299" s="32">
        <f>Цена!A299</f>
        <v>0</v>
      </c>
      <c r="T299" s="644"/>
      <c r="U299" s="97"/>
      <c r="V299" s="32"/>
      <c r="W299" s="10"/>
      <c r="X299" s="97"/>
      <c r="Z299" s="32"/>
      <c r="AA299" s="10"/>
      <c r="AB299" s="97"/>
    </row>
    <row r="300" spans="1:28" ht="15.75">
      <c r="N300" s="599"/>
      <c r="O300" s="583"/>
      <c r="P300" s="583"/>
      <c r="Q300" s="583"/>
      <c r="S300" s="32">
        <f>Цена!A300</f>
        <v>0</v>
      </c>
      <c r="W300" s="10"/>
      <c r="X300" s="97"/>
      <c r="Y300" s="39"/>
      <c r="AA300" s="10"/>
      <c r="AB300" s="97"/>
    </row>
    <row r="306" spans="20:20">
      <c r="T306"/>
    </row>
    <row r="2599" spans="26:26">
      <c r="Z2599" s="32">
        <v>1</v>
      </c>
    </row>
  </sheetData>
  <protectedRanges>
    <protectedRange sqref="C42" name="Диапазон8"/>
  </protectedRanges>
  <dataValidations disablePrompts="1" count="2">
    <dataValidation allowBlank="1" showInputMessage="1" showErrorMessage="1" prompt="Стоимость доп. отделки" sqref="U3 X3"/>
    <dataValidation type="list" allowBlank="1" showInputMessage="1" showErrorMessage="1" error="ОШИБКА" prompt="Выбор накладки на порог" sqref="C42">
      <formula1>"накладка из Н/С"</formula1>
    </dataValidation>
  </dataValidations>
  <pageMargins left="0.25" right="0.25" top="0.75" bottom="0.75" header="0.3" footer="0.3"/>
  <pageSetup paperSize="9" orientation="portrait" r:id="rId1"/>
  <ignoredErrors>
    <ignoredError sqref="N17:N20" calculatedColumn="1"/>
  </ignoredErrors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L49"/>
  <sheetViews>
    <sheetView workbookViewId="0">
      <selection activeCell="C29" sqref="C29"/>
    </sheetView>
  </sheetViews>
  <sheetFormatPr defaultRowHeight="15"/>
  <cols>
    <col min="1" max="1" width="18" bestFit="1" customWidth="1"/>
    <col min="2" max="2" width="19.5703125" bestFit="1" customWidth="1"/>
    <col min="3" max="3" width="12.7109375" style="2" bestFit="1" customWidth="1"/>
    <col min="4" max="4" width="11.140625" style="2" bestFit="1" customWidth="1"/>
    <col min="5" max="5" width="13.28515625" style="2" bestFit="1" customWidth="1"/>
    <col min="6" max="6" width="10.140625" style="2" bestFit="1" customWidth="1"/>
    <col min="7" max="7" width="11.140625" style="2" bestFit="1" customWidth="1"/>
    <col min="8" max="9" width="13.28515625" style="2" bestFit="1" customWidth="1"/>
    <col min="10" max="10" width="13.28515625" style="41" customWidth="1"/>
    <col min="11" max="11" width="1.5703125" customWidth="1"/>
  </cols>
  <sheetData>
    <row r="1" spans="1:12">
      <c r="A1" s="517" t="s">
        <v>809</v>
      </c>
    </row>
    <row r="2" spans="1:12">
      <c r="B2" t="s">
        <v>82</v>
      </c>
      <c r="C2" s="17" t="s">
        <v>412</v>
      </c>
      <c r="D2" s="17" t="s">
        <v>413</v>
      </c>
      <c r="E2" s="17" t="s">
        <v>414</v>
      </c>
      <c r="F2" s="17" t="s">
        <v>415</v>
      </c>
      <c r="G2" s="17" t="s">
        <v>416</v>
      </c>
      <c r="H2" s="17" t="s">
        <v>417</v>
      </c>
      <c r="I2" s="18" t="s">
        <v>418</v>
      </c>
      <c r="J2" s="149" t="s">
        <v>441</v>
      </c>
    </row>
    <row r="3" spans="1:12">
      <c r="A3" s="904" t="s">
        <v>17</v>
      </c>
      <c r="B3" s="3" t="s">
        <v>10</v>
      </c>
      <c r="C3" s="8" t="s">
        <v>96</v>
      </c>
      <c r="D3" s="8" t="s">
        <v>96</v>
      </c>
      <c r="E3" s="8" t="s">
        <v>96</v>
      </c>
      <c r="F3" s="8" t="s">
        <v>96</v>
      </c>
      <c r="G3" s="8" t="s">
        <v>96</v>
      </c>
      <c r="H3" s="8" t="s">
        <v>96</v>
      </c>
      <c r="I3" s="8" t="s">
        <v>96</v>
      </c>
      <c r="J3" s="75"/>
      <c r="L3">
        <v>1</v>
      </c>
    </row>
    <row r="4" spans="1:12">
      <c r="A4" s="905"/>
      <c r="B4" s="3" t="s">
        <v>11</v>
      </c>
      <c r="C4" s="8" t="s">
        <v>769</v>
      </c>
      <c r="D4" s="364" t="s">
        <v>769</v>
      </c>
      <c r="E4" s="364" t="s">
        <v>769</v>
      </c>
      <c r="F4" s="8" t="s">
        <v>761</v>
      </c>
      <c r="G4" s="482" t="s">
        <v>761</v>
      </c>
      <c r="H4" s="482" t="s">
        <v>761</v>
      </c>
      <c r="I4" s="482" t="s">
        <v>761</v>
      </c>
      <c r="J4" s="75"/>
      <c r="L4">
        <f t="shared" ref="L4:L30" si="0">L3+1</f>
        <v>2</v>
      </c>
    </row>
    <row r="5" spans="1:12">
      <c r="A5" s="905"/>
      <c r="B5" s="3" t="s">
        <v>12</v>
      </c>
      <c r="C5" s="8">
        <v>60</v>
      </c>
      <c r="D5" s="8">
        <v>60</v>
      </c>
      <c r="E5" s="8">
        <v>80</v>
      </c>
      <c r="F5" s="8">
        <v>70</v>
      </c>
      <c r="G5" s="8">
        <v>70</v>
      </c>
      <c r="H5" s="8">
        <v>80</v>
      </c>
      <c r="I5" s="8">
        <v>80</v>
      </c>
      <c r="J5" s="75"/>
      <c r="L5">
        <f t="shared" si="0"/>
        <v>3</v>
      </c>
    </row>
    <row r="6" spans="1:12">
      <c r="A6" s="905"/>
      <c r="B6" s="3" t="s">
        <v>13</v>
      </c>
      <c r="C6" s="8">
        <v>78</v>
      </c>
      <c r="D6" s="8">
        <v>78</v>
      </c>
      <c r="E6" s="8">
        <v>103</v>
      </c>
      <c r="F6" s="8">
        <v>103</v>
      </c>
      <c r="G6" s="8">
        <v>103</v>
      </c>
      <c r="H6" s="8">
        <v>103</v>
      </c>
      <c r="I6" s="8">
        <v>103</v>
      </c>
      <c r="J6" s="75"/>
      <c r="L6">
        <f t="shared" si="0"/>
        <v>4</v>
      </c>
    </row>
    <row r="7" spans="1:12">
      <c r="A7" s="905"/>
      <c r="B7" s="22" t="s">
        <v>14</v>
      </c>
      <c r="C7" s="8" t="s">
        <v>79</v>
      </c>
      <c r="D7" s="8" t="s">
        <v>79</v>
      </c>
      <c r="E7" s="8" t="s">
        <v>79</v>
      </c>
      <c r="F7" s="8" t="s">
        <v>79</v>
      </c>
      <c r="G7" s="8" t="s">
        <v>79</v>
      </c>
      <c r="H7" s="8" t="s">
        <v>79</v>
      </c>
      <c r="I7" s="8" t="s">
        <v>79</v>
      </c>
      <c r="J7" s="75"/>
      <c r="L7">
        <f t="shared" si="0"/>
        <v>5</v>
      </c>
    </row>
    <row r="8" spans="1:12">
      <c r="A8" s="906"/>
      <c r="B8" s="22" t="s">
        <v>15</v>
      </c>
      <c r="C8" s="8" t="s">
        <v>16</v>
      </c>
      <c r="D8" s="8" t="s">
        <v>16</v>
      </c>
      <c r="E8" s="8" t="s">
        <v>16</v>
      </c>
      <c r="F8" s="8" t="s">
        <v>16</v>
      </c>
      <c r="G8" s="8" t="s">
        <v>16</v>
      </c>
      <c r="H8" s="8" t="s">
        <v>16</v>
      </c>
      <c r="I8" s="8" t="s">
        <v>16</v>
      </c>
      <c r="J8" s="75"/>
      <c r="L8">
        <f t="shared" si="0"/>
        <v>6</v>
      </c>
    </row>
    <row r="9" spans="1:12">
      <c r="A9" s="907" t="s">
        <v>34</v>
      </c>
      <c r="B9" s="22" t="s">
        <v>18</v>
      </c>
      <c r="C9" s="11"/>
      <c r="D9" s="11" t="s">
        <v>828</v>
      </c>
      <c r="E9" s="11" t="s">
        <v>828</v>
      </c>
      <c r="F9" s="11"/>
      <c r="G9" s="11" t="s">
        <v>828</v>
      </c>
      <c r="H9" s="11" t="s">
        <v>828</v>
      </c>
      <c r="I9" s="11" t="s">
        <v>828</v>
      </c>
      <c r="J9" s="150"/>
      <c r="L9">
        <f t="shared" si="0"/>
        <v>7</v>
      </c>
    </row>
    <row r="10" spans="1:12">
      <c r="A10" s="908"/>
      <c r="B10" s="22" t="s">
        <v>20</v>
      </c>
      <c r="C10" s="11" t="s">
        <v>21</v>
      </c>
      <c r="D10" s="11" t="s">
        <v>21</v>
      </c>
      <c r="E10" s="11" t="s">
        <v>21</v>
      </c>
      <c r="F10" s="11" t="s">
        <v>21</v>
      </c>
      <c r="G10" s="11" t="s">
        <v>21</v>
      </c>
      <c r="H10" s="11" t="s">
        <v>29</v>
      </c>
      <c r="I10" s="11" t="s">
        <v>29</v>
      </c>
      <c r="J10" s="150"/>
      <c r="L10">
        <f t="shared" si="0"/>
        <v>8</v>
      </c>
    </row>
    <row r="11" spans="1:12">
      <c r="A11" s="908"/>
      <c r="B11" s="22" t="s">
        <v>24</v>
      </c>
      <c r="C11" s="11" t="s">
        <v>25</v>
      </c>
      <c r="D11" s="11" t="s">
        <v>26</v>
      </c>
      <c r="E11" s="11" t="s">
        <v>27</v>
      </c>
      <c r="F11" s="11" t="s">
        <v>25</v>
      </c>
      <c r="G11" s="11" t="s">
        <v>26</v>
      </c>
      <c r="H11" s="11" t="s">
        <v>27</v>
      </c>
      <c r="I11" s="11" t="s">
        <v>27</v>
      </c>
      <c r="J11" s="150"/>
      <c r="L11">
        <f t="shared" si="0"/>
        <v>9</v>
      </c>
    </row>
    <row r="12" spans="1:12">
      <c r="A12" s="908"/>
      <c r="B12" s="22" t="s">
        <v>97</v>
      </c>
      <c r="C12" s="11"/>
      <c r="D12" s="11" t="s">
        <v>90</v>
      </c>
      <c r="E12" s="11" t="s">
        <v>90</v>
      </c>
      <c r="F12" s="11"/>
      <c r="G12" s="11" t="s">
        <v>90</v>
      </c>
      <c r="H12" s="11" t="s">
        <v>90</v>
      </c>
      <c r="I12" s="11" t="s">
        <v>90</v>
      </c>
      <c r="J12" s="150"/>
      <c r="L12">
        <f t="shared" si="0"/>
        <v>10</v>
      </c>
    </row>
    <row r="13" spans="1:12">
      <c r="A13" s="908"/>
      <c r="B13" s="22" t="s">
        <v>19</v>
      </c>
      <c r="C13" s="11" t="s">
        <v>827</v>
      </c>
      <c r="D13" s="11" t="s">
        <v>827</v>
      </c>
      <c r="E13" s="11" t="s">
        <v>827</v>
      </c>
      <c r="F13" s="11" t="s">
        <v>827</v>
      </c>
      <c r="G13" s="11" t="s">
        <v>827</v>
      </c>
      <c r="H13" s="11" t="s">
        <v>827</v>
      </c>
      <c r="I13" s="11" t="s">
        <v>827</v>
      </c>
      <c r="J13" s="150"/>
      <c r="L13">
        <f t="shared" si="0"/>
        <v>11</v>
      </c>
    </row>
    <row r="14" spans="1:12">
      <c r="A14" s="908"/>
      <c r="B14" s="6" t="s">
        <v>22</v>
      </c>
      <c r="C14" s="11" t="s">
        <v>81</v>
      </c>
      <c r="D14" s="11" t="s">
        <v>81</v>
      </c>
      <c r="E14" s="11" t="s">
        <v>81</v>
      </c>
      <c r="F14" s="11" t="s">
        <v>81</v>
      </c>
      <c r="G14" s="11" t="s">
        <v>81</v>
      </c>
      <c r="H14" s="11" t="s">
        <v>81</v>
      </c>
      <c r="I14" s="11" t="s">
        <v>81</v>
      </c>
      <c r="J14" s="150"/>
      <c r="L14">
        <f t="shared" si="0"/>
        <v>12</v>
      </c>
    </row>
    <row r="15" spans="1:12">
      <c r="A15" s="908"/>
      <c r="B15" s="22" t="s">
        <v>23</v>
      </c>
      <c r="C15" s="11" t="s">
        <v>21</v>
      </c>
      <c r="D15" s="11" t="s">
        <v>21</v>
      </c>
      <c r="E15" s="11" t="s">
        <v>41</v>
      </c>
      <c r="F15" s="11" t="s">
        <v>21</v>
      </c>
      <c r="G15" s="11" t="s">
        <v>21</v>
      </c>
      <c r="H15" s="11" t="s">
        <v>41</v>
      </c>
      <c r="I15" s="11" t="s">
        <v>41</v>
      </c>
      <c r="J15" s="150"/>
      <c r="L15">
        <f t="shared" si="0"/>
        <v>13</v>
      </c>
    </row>
    <row r="16" spans="1:12">
      <c r="A16" s="909"/>
      <c r="B16" s="22" t="s">
        <v>30</v>
      </c>
      <c r="C16" s="11"/>
      <c r="D16" s="11"/>
      <c r="E16" s="11" t="s">
        <v>98</v>
      </c>
      <c r="F16" s="11"/>
      <c r="G16" s="11"/>
      <c r="H16" s="11" t="s">
        <v>98</v>
      </c>
      <c r="I16" s="11" t="s">
        <v>98</v>
      </c>
      <c r="J16" s="150"/>
      <c r="L16">
        <f t="shared" si="0"/>
        <v>14</v>
      </c>
    </row>
    <row r="17" spans="1:12">
      <c r="A17" s="5" t="s">
        <v>31</v>
      </c>
      <c r="B17" s="23" t="s">
        <v>31</v>
      </c>
      <c r="C17" s="12" t="s">
        <v>32</v>
      </c>
      <c r="D17" s="12" t="s">
        <v>33</v>
      </c>
      <c r="E17" s="12" t="s">
        <v>33</v>
      </c>
      <c r="F17" s="12" t="s">
        <v>32</v>
      </c>
      <c r="G17" s="12" t="s">
        <v>33</v>
      </c>
      <c r="H17" s="12" t="s">
        <v>33</v>
      </c>
      <c r="I17" s="12" t="s">
        <v>33</v>
      </c>
      <c r="J17" s="151"/>
      <c r="L17">
        <f t="shared" si="0"/>
        <v>15</v>
      </c>
    </row>
    <row r="18" spans="1:12">
      <c r="A18" s="910" t="s">
        <v>37</v>
      </c>
      <c r="B18" s="24" t="s">
        <v>35</v>
      </c>
      <c r="C18" s="16" t="s">
        <v>764</v>
      </c>
      <c r="D18" s="8" t="s">
        <v>764</v>
      </c>
      <c r="E18" s="13" t="s">
        <v>6</v>
      </c>
      <c r="F18" s="16" t="s">
        <v>11</v>
      </c>
      <c r="G18" s="16" t="s">
        <v>11</v>
      </c>
      <c r="H18" s="16" t="s">
        <v>11</v>
      </c>
      <c r="I18" s="13" t="s">
        <v>6</v>
      </c>
      <c r="J18" s="13" t="s">
        <v>937</v>
      </c>
      <c r="L18">
        <f t="shared" si="0"/>
        <v>16</v>
      </c>
    </row>
    <row r="19" spans="1:12">
      <c r="A19" s="910"/>
      <c r="B19" s="24" t="s">
        <v>100</v>
      </c>
      <c r="C19" s="8"/>
      <c r="D19" s="16"/>
      <c r="E19" s="140" t="s">
        <v>432</v>
      </c>
      <c r="F19" s="8"/>
      <c r="G19" s="16"/>
      <c r="H19" s="16"/>
      <c r="I19" s="140" t="s">
        <v>432</v>
      </c>
      <c r="J19" s="140"/>
      <c r="L19">
        <f t="shared" si="0"/>
        <v>17</v>
      </c>
    </row>
    <row r="20" spans="1:12" s="39" customFormat="1">
      <c r="A20" s="910"/>
      <c r="B20" s="24" t="s">
        <v>283</v>
      </c>
      <c r="C20" s="8"/>
      <c r="D20" s="8"/>
      <c r="E20" s="13" t="s">
        <v>284</v>
      </c>
      <c r="F20" s="8"/>
      <c r="G20" s="8"/>
      <c r="H20" s="8"/>
      <c r="I20" s="13" t="s">
        <v>284</v>
      </c>
      <c r="J20" s="13"/>
      <c r="L20" s="39">
        <f t="shared" si="0"/>
        <v>18</v>
      </c>
    </row>
    <row r="21" spans="1:12">
      <c r="A21" s="910"/>
      <c r="B21" s="24" t="s">
        <v>99</v>
      </c>
      <c r="C21" s="8"/>
      <c r="D21" s="8"/>
      <c r="E21" s="13" t="s">
        <v>287</v>
      </c>
      <c r="F21" s="8"/>
      <c r="G21" s="8"/>
      <c r="H21" s="8"/>
      <c r="I21" s="13" t="s">
        <v>287</v>
      </c>
      <c r="J21" s="13"/>
      <c r="L21" s="39">
        <f t="shared" si="0"/>
        <v>19</v>
      </c>
    </row>
    <row r="22" spans="1:12" s="39" customFormat="1">
      <c r="A22" s="910"/>
      <c r="B22" s="24"/>
      <c r="C22" s="8"/>
      <c r="D22" s="8"/>
      <c r="E22" s="13" t="s">
        <v>705</v>
      </c>
      <c r="F22" s="8"/>
      <c r="G22" s="8"/>
      <c r="H22" s="8"/>
      <c r="I22" s="13" t="s">
        <v>705</v>
      </c>
      <c r="J22" s="13"/>
      <c r="L22" s="39">
        <f t="shared" si="0"/>
        <v>20</v>
      </c>
    </row>
    <row r="23" spans="1:12">
      <c r="A23" s="910"/>
      <c r="B23" s="7" t="s">
        <v>38</v>
      </c>
      <c r="C23" s="8"/>
      <c r="D23" s="8"/>
      <c r="E23" s="13" t="str">
        <f>Профдекор[[#Headers],[ПВХ_Стандарт]]</f>
        <v>ПВХ_Стандарт</v>
      </c>
      <c r="F23" s="8"/>
      <c r="G23" s="8"/>
      <c r="H23" s="8"/>
      <c r="I23" s="13" t="str">
        <f>Профдекор[[#Headers],[ПВХ_Стандарт]]</f>
        <v>ПВХ_Стандарт</v>
      </c>
      <c r="J23" s="13"/>
      <c r="L23" s="39">
        <f t="shared" si="0"/>
        <v>21</v>
      </c>
    </row>
    <row r="24" spans="1:12" ht="15.75">
      <c r="A24" s="910"/>
      <c r="B24" s="25" t="s">
        <v>36</v>
      </c>
      <c r="C24" s="793" t="s">
        <v>1602</v>
      </c>
      <c r="D24" s="223" t="str">
        <f>Таблица1[[#This Row],[О_0]]</f>
        <v>МДФ_10 лам.</v>
      </c>
      <c r="E24" s="223" t="s">
        <v>6</v>
      </c>
      <c r="F24" s="223" t="str">
        <f>Таблица1[[#This Row],[О_0]]</f>
        <v>МДФ_10 лам.</v>
      </c>
      <c r="G24" s="223" t="str">
        <f>Таблица1[[#This Row],[О_0]]</f>
        <v>МДФ_10 лам.</v>
      </c>
      <c r="H24" s="223" t="s">
        <v>6</v>
      </c>
      <c r="I24" s="223" t="s">
        <v>6</v>
      </c>
      <c r="J24" s="14" t="s">
        <v>936</v>
      </c>
      <c r="L24" s="39">
        <f t="shared" si="0"/>
        <v>22</v>
      </c>
    </row>
    <row r="25" spans="1:12">
      <c r="A25" s="910"/>
      <c r="B25" s="26"/>
      <c r="C25" s="140"/>
      <c r="D25" s="140"/>
      <c r="E25" s="140" t="s">
        <v>432</v>
      </c>
      <c r="F25" s="140"/>
      <c r="G25" s="140"/>
      <c r="H25" s="140" t="s">
        <v>432</v>
      </c>
      <c r="I25" s="140" t="s">
        <v>432</v>
      </c>
      <c r="J25" s="140"/>
      <c r="L25" s="39">
        <f t="shared" si="0"/>
        <v>23</v>
      </c>
    </row>
    <row r="26" spans="1:12" s="39" customFormat="1">
      <c r="A26" s="910"/>
      <c r="B26" s="26" t="s">
        <v>283</v>
      </c>
      <c r="C26" s="21"/>
      <c r="D26" s="21"/>
      <c r="E26" s="13" t="s">
        <v>287</v>
      </c>
      <c r="F26" s="21"/>
      <c r="G26" s="21"/>
      <c r="H26" s="13" t="s">
        <v>287</v>
      </c>
      <c r="I26" s="13" t="s">
        <v>287</v>
      </c>
      <c r="J26" s="13"/>
      <c r="L26" s="39">
        <f t="shared" si="0"/>
        <v>24</v>
      </c>
    </row>
    <row r="27" spans="1:12">
      <c r="A27" s="910"/>
      <c r="B27" s="26" t="s">
        <v>99</v>
      </c>
      <c r="C27" s="20"/>
      <c r="D27" s="20"/>
      <c r="E27" s="21" t="s">
        <v>287</v>
      </c>
      <c r="F27" s="20"/>
      <c r="G27" s="20"/>
      <c r="H27" s="21" t="s">
        <v>287</v>
      </c>
      <c r="I27" s="21" t="s">
        <v>287</v>
      </c>
      <c r="J27" s="21"/>
      <c r="L27" s="39">
        <f t="shared" si="0"/>
        <v>25</v>
      </c>
    </row>
    <row r="28" spans="1:12" s="39" customFormat="1">
      <c r="A28" s="910"/>
      <c r="B28" s="26"/>
      <c r="C28" s="20"/>
      <c r="D28" s="20"/>
      <c r="E28" s="13" t="s">
        <v>705</v>
      </c>
      <c r="F28" s="20"/>
      <c r="G28" s="20"/>
      <c r="H28" s="13" t="s">
        <v>705</v>
      </c>
      <c r="I28" s="13" t="s">
        <v>705</v>
      </c>
      <c r="J28" s="13"/>
      <c r="L28" s="39">
        <f t="shared" si="0"/>
        <v>26</v>
      </c>
    </row>
    <row r="29" spans="1:12">
      <c r="A29" s="910"/>
      <c r="B29" s="19" t="s">
        <v>38</v>
      </c>
      <c r="C29" s="21"/>
      <c r="D29" s="21"/>
      <c r="E29" s="21" t="str">
        <f>Профдекор[[#Headers],[ПВХ_Стандарт]]</f>
        <v>ПВХ_Стандарт</v>
      </c>
      <c r="F29" s="21"/>
      <c r="G29" s="21"/>
      <c r="H29" s="21" t="str">
        <f>Профдекор[[#Headers],[ПВХ_Стандарт]]</f>
        <v>ПВХ_Стандарт</v>
      </c>
      <c r="I29" s="21" t="str">
        <f>Профдекор[[#Headers],[ПВХ_Стандарт]]</f>
        <v>ПВХ_Стандарт</v>
      </c>
      <c r="J29" s="21"/>
      <c r="L29" s="39">
        <f t="shared" si="0"/>
        <v>27</v>
      </c>
    </row>
    <row r="30" spans="1:12">
      <c r="B30" t="s">
        <v>312</v>
      </c>
      <c r="C30" s="41" t="s">
        <v>335</v>
      </c>
      <c r="D30" s="41" t="s">
        <v>335</v>
      </c>
      <c r="E30" s="2" t="s">
        <v>335</v>
      </c>
      <c r="F30" s="41" t="s">
        <v>335</v>
      </c>
      <c r="G30" s="41" t="s">
        <v>335</v>
      </c>
      <c r="H30" s="41" t="s">
        <v>335</v>
      </c>
      <c r="I30" s="41" t="s">
        <v>335</v>
      </c>
      <c r="J30" s="41" t="s">
        <v>335</v>
      </c>
      <c r="L30" s="39">
        <f t="shared" si="0"/>
        <v>28</v>
      </c>
    </row>
    <row r="31" spans="1:12" s="39" customFormat="1">
      <c r="C31" s="41"/>
      <c r="D31" s="41"/>
      <c r="E31" s="41"/>
      <c r="F31" s="41"/>
      <c r="G31" s="41"/>
      <c r="H31" s="41"/>
      <c r="I31" s="41"/>
      <c r="J31" s="41"/>
    </row>
    <row r="49" s="39" customFormat="1"/>
  </sheetData>
  <mergeCells count="3">
    <mergeCell ref="A3:A8"/>
    <mergeCell ref="A9:A16"/>
    <mergeCell ref="A18:A29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CG80"/>
  <sheetViews>
    <sheetView showGridLines="0" showRowColHeaders="0" topLeftCell="A46" workbookViewId="0">
      <selection activeCell="T63" sqref="T63:Y70"/>
    </sheetView>
  </sheetViews>
  <sheetFormatPr defaultRowHeight="15"/>
  <cols>
    <col min="1" max="1" width="12.85546875" style="39" customWidth="1"/>
    <col min="2" max="2" width="11.7109375" customWidth="1"/>
    <col min="5" max="5" width="1.85546875" customWidth="1"/>
    <col min="6" max="6" width="1.7109375" style="39" customWidth="1"/>
    <col min="7" max="7" width="1.5703125" style="39" customWidth="1"/>
    <col min="8" max="8" width="1.85546875" style="39" customWidth="1"/>
    <col min="9" max="9" width="2" style="39" customWidth="1"/>
    <col min="10" max="16" width="1.85546875" style="39" customWidth="1"/>
    <col min="18" max="25" width="2.140625" customWidth="1"/>
    <col min="26" max="34" width="2.140625" style="39" customWidth="1"/>
    <col min="35" max="37" width="2.140625" customWidth="1"/>
    <col min="38" max="53" width="2.140625" style="39" customWidth="1"/>
    <col min="54" max="91" width="2.140625" customWidth="1"/>
    <col min="92" max="96" width="2.85546875" customWidth="1"/>
    <col min="97" max="99" width="2.140625" customWidth="1"/>
  </cols>
  <sheetData>
    <row r="1" spans="1:80">
      <c r="A1">
        <v>1</v>
      </c>
      <c r="B1">
        <v>1</v>
      </c>
      <c r="C1">
        <v>1</v>
      </c>
      <c r="R1" t="s">
        <v>362</v>
      </c>
      <c r="BH1" t="s">
        <v>363</v>
      </c>
    </row>
    <row r="2" spans="1:80" ht="15.75" thickBot="1"/>
    <row r="3" spans="1:80">
      <c r="A3" s="39" t="s">
        <v>82</v>
      </c>
      <c r="B3" s="39" t="s">
        <v>440</v>
      </c>
      <c r="R3" s="35"/>
      <c r="S3" s="34"/>
      <c r="T3" s="34"/>
      <c r="U3" s="34"/>
      <c r="V3" s="34"/>
      <c r="W3" s="33"/>
      <c r="BG3" s="35"/>
      <c r="BH3" s="34"/>
      <c r="BI3" s="34"/>
      <c r="BJ3" s="33"/>
      <c r="BK3" s="34"/>
      <c r="BL3" s="34"/>
      <c r="BM3" s="34"/>
      <c r="BN3" s="33"/>
    </row>
    <row r="4" spans="1:80">
      <c r="A4" s="39">
        <v>1</v>
      </c>
      <c r="B4" t="s">
        <v>362</v>
      </c>
      <c r="R4" s="32"/>
      <c r="S4" s="40"/>
      <c r="T4" s="40"/>
      <c r="U4" s="40"/>
      <c r="V4" s="40"/>
      <c r="W4" s="31"/>
      <c r="BG4" s="32"/>
      <c r="BH4" s="40"/>
      <c r="BI4" s="40"/>
      <c r="BJ4" s="31"/>
      <c r="BK4" s="40"/>
      <c r="BL4" s="40"/>
      <c r="BM4" s="40"/>
      <c r="BN4" s="31"/>
      <c r="BX4" s="40"/>
      <c r="BY4" s="40"/>
    </row>
    <row r="5" spans="1:80">
      <c r="A5" s="39">
        <f>1+A4</f>
        <v>2</v>
      </c>
      <c r="B5" t="str">
        <f>R13</f>
        <v>_1_верхним_добором</v>
      </c>
      <c r="R5" s="32"/>
      <c r="S5" s="40"/>
      <c r="T5" s="40"/>
      <c r="U5" s="40"/>
      <c r="V5" s="40"/>
      <c r="W5" s="31"/>
      <c r="BG5" s="32"/>
      <c r="BH5" s="40"/>
      <c r="BI5" s="40"/>
      <c r="BJ5" s="31"/>
      <c r="BK5" s="40"/>
      <c r="BL5" s="40"/>
      <c r="BM5" s="40"/>
      <c r="BN5" s="31"/>
      <c r="BX5" s="40"/>
      <c r="BY5" s="40"/>
    </row>
    <row r="6" spans="1:80">
      <c r="A6" s="39">
        <f t="shared" ref="A6:A19" si="0">1+A5</f>
        <v>3</v>
      </c>
      <c r="B6" t="str">
        <f>R26</f>
        <v>_1_левым_добором</v>
      </c>
      <c r="R6" s="32"/>
      <c r="S6" s="40"/>
      <c r="T6" s="40"/>
      <c r="U6" s="40"/>
      <c r="V6" s="40"/>
      <c r="W6" s="31"/>
      <c r="BG6" s="32"/>
      <c r="BH6" s="40"/>
      <c r="BI6" s="40"/>
      <c r="BJ6" s="31"/>
      <c r="BK6" s="40"/>
      <c r="BL6" s="40"/>
      <c r="BM6" s="40"/>
      <c r="BN6" s="31"/>
      <c r="BX6" s="40"/>
      <c r="BY6" s="40"/>
    </row>
    <row r="7" spans="1:80">
      <c r="A7" s="39">
        <f t="shared" si="0"/>
        <v>4</v>
      </c>
      <c r="B7" s="39" t="str">
        <f>H13</f>
        <v>_1_верхним_и_лев_добором</v>
      </c>
      <c r="R7" s="32"/>
      <c r="S7" s="40"/>
      <c r="T7" s="40"/>
      <c r="U7" s="40"/>
      <c r="V7" s="40"/>
      <c r="W7" s="31"/>
      <c r="BG7" s="32"/>
      <c r="BH7" s="40"/>
      <c r="BI7" s="40"/>
      <c r="BJ7" s="31"/>
      <c r="BK7" s="40"/>
      <c r="BL7" s="40"/>
      <c r="BM7" s="40"/>
      <c r="BN7" s="31"/>
      <c r="BX7" s="40"/>
      <c r="BY7" s="40"/>
    </row>
    <row r="8" spans="1:80">
      <c r="A8" s="39">
        <f t="shared" si="0"/>
        <v>5</v>
      </c>
      <c r="B8" t="str">
        <f>R38</f>
        <v>_1_правым_добором</v>
      </c>
      <c r="R8" s="32"/>
      <c r="S8" s="40"/>
      <c r="T8" s="40"/>
      <c r="U8" s="40"/>
      <c r="V8" s="40"/>
      <c r="W8" s="31"/>
      <c r="BG8" s="32"/>
      <c r="BH8" s="40"/>
      <c r="BI8" s="40"/>
      <c r="BJ8" s="31"/>
      <c r="BK8" s="40"/>
      <c r="BL8" s="40"/>
      <c r="BM8" s="40"/>
      <c r="BN8" s="31"/>
      <c r="BX8" s="40"/>
      <c r="BY8" s="40"/>
    </row>
    <row r="9" spans="1:80">
      <c r="A9" s="39">
        <f t="shared" si="0"/>
        <v>6</v>
      </c>
      <c r="B9" t="str">
        <f>AC13</f>
        <v>_1_верхним_и_прав_добором</v>
      </c>
      <c r="R9" s="32"/>
      <c r="S9" s="40"/>
      <c r="T9" s="40"/>
      <c r="U9" s="40"/>
      <c r="V9" s="40"/>
      <c r="W9" s="31"/>
      <c r="BG9" s="32"/>
      <c r="BH9" s="40"/>
      <c r="BI9" s="40"/>
      <c r="BJ9" s="31"/>
      <c r="BK9" s="40"/>
      <c r="BL9" s="40"/>
      <c r="BM9" s="40"/>
      <c r="BN9" s="31"/>
      <c r="BX9" s="40"/>
      <c r="BY9" s="40"/>
    </row>
    <row r="10" spans="1:80" ht="15.75" thickBot="1">
      <c r="A10" s="39">
        <f t="shared" si="0"/>
        <v>7</v>
      </c>
      <c r="B10" s="39" t="str">
        <f>AD38</f>
        <v>_1_2_мя_доборами</v>
      </c>
      <c r="R10" s="30"/>
      <c r="S10" s="29"/>
      <c r="T10" s="29"/>
      <c r="U10" s="29"/>
      <c r="V10" s="29"/>
      <c r="W10" s="28"/>
      <c r="BG10" s="30"/>
      <c r="BH10" s="29"/>
      <c r="BI10" s="29"/>
      <c r="BJ10" s="28"/>
      <c r="BK10" s="29"/>
      <c r="BL10" s="29"/>
      <c r="BM10" s="29"/>
      <c r="BN10" s="28"/>
      <c r="BX10" s="40"/>
      <c r="BY10" s="40"/>
    </row>
    <row r="11" spans="1:80">
      <c r="A11" s="39">
        <f t="shared" si="0"/>
        <v>8</v>
      </c>
      <c r="B11" t="str">
        <f>R50</f>
        <v>_1_3_мя_доборами</v>
      </c>
      <c r="R11" s="40"/>
      <c r="S11" s="40"/>
      <c r="T11" s="40"/>
      <c r="U11" s="40"/>
      <c r="V11" s="40"/>
      <c r="W11" s="40"/>
      <c r="BX11" s="40"/>
      <c r="BY11" s="40"/>
    </row>
    <row r="12" spans="1:80">
      <c r="A12" s="39">
        <f t="shared" si="0"/>
        <v>9</v>
      </c>
      <c r="B12" t="str">
        <f>T62</f>
        <v>_1_Центр_выпукл</v>
      </c>
    </row>
    <row r="13" spans="1:80">
      <c r="A13" s="39">
        <f t="shared" si="0"/>
        <v>10</v>
      </c>
      <c r="B13" t="str">
        <f>T72</f>
        <v>_1_Бока_выпуклы</v>
      </c>
      <c r="H13" s="39" t="s">
        <v>510</v>
      </c>
      <c r="Q13" s="40"/>
      <c r="R13" t="s">
        <v>361</v>
      </c>
      <c r="AC13" s="39" t="s">
        <v>509</v>
      </c>
      <c r="AI13" s="39"/>
      <c r="AT13" s="39" t="s">
        <v>512</v>
      </c>
      <c r="BB13" s="39"/>
      <c r="BC13" s="39"/>
      <c r="BG13" s="39" t="s">
        <v>364</v>
      </c>
      <c r="BH13" s="39"/>
      <c r="BI13" s="39"/>
      <c r="BJ13" s="39"/>
      <c r="BK13" s="39"/>
      <c r="BL13" s="39"/>
      <c r="BM13" s="39"/>
      <c r="BN13" s="39"/>
      <c r="BS13" s="39" t="s">
        <v>511</v>
      </c>
      <c r="BT13" s="39"/>
      <c r="BU13" s="39"/>
      <c r="BV13" s="39"/>
      <c r="BW13" s="39"/>
      <c r="BX13" s="39"/>
      <c r="BY13" s="39"/>
      <c r="BZ13" s="39"/>
      <c r="CA13" s="39"/>
      <c r="CB13" s="39"/>
    </row>
    <row r="14" spans="1:80" ht="15.75" thickBot="1">
      <c r="A14" s="39">
        <f t="shared" si="0"/>
        <v>11</v>
      </c>
      <c r="B14" t="str">
        <f>BH1</f>
        <v>_2_створчатая</v>
      </c>
      <c r="Q14" s="40"/>
      <c r="AI14" s="39"/>
      <c r="AJ14" s="40"/>
      <c r="BG14" s="39"/>
      <c r="BH14" s="39"/>
      <c r="BI14" s="39"/>
      <c r="BJ14" s="39"/>
      <c r="BK14" s="39"/>
      <c r="BL14" s="39"/>
      <c r="BM14" s="39"/>
      <c r="BN14" s="39"/>
    </row>
    <row r="15" spans="1:80" ht="15.75" thickBot="1">
      <c r="A15" s="39">
        <f t="shared" si="0"/>
        <v>12</v>
      </c>
      <c r="B15" t="str">
        <f>BG13</f>
        <v>_2_верхним_добором</v>
      </c>
      <c r="H15" s="38"/>
      <c r="I15" s="37"/>
      <c r="J15" s="37"/>
      <c r="K15" s="37"/>
      <c r="L15" s="37"/>
      <c r="M15" s="37"/>
      <c r="N15" s="36"/>
      <c r="Q15" s="40"/>
      <c r="R15" s="38"/>
      <c r="S15" s="37"/>
      <c r="T15" s="37"/>
      <c r="U15" s="37"/>
      <c r="V15" s="36"/>
      <c r="AC15" s="38"/>
      <c r="AD15" s="37"/>
      <c r="AE15" s="37"/>
      <c r="AF15" s="37"/>
      <c r="AG15" s="37"/>
      <c r="AH15" s="37"/>
      <c r="AI15" s="36"/>
      <c r="AJ15" s="40"/>
      <c r="AT15" s="38"/>
      <c r="AU15" s="37"/>
      <c r="AV15" s="37"/>
      <c r="AW15" s="37"/>
      <c r="AX15" s="37"/>
      <c r="AY15" s="37"/>
      <c r="AZ15" s="37"/>
      <c r="BA15" s="37"/>
      <c r="BB15" s="37"/>
      <c r="BC15" s="36"/>
      <c r="BG15" s="38"/>
      <c r="BH15" s="37"/>
      <c r="BI15" s="37"/>
      <c r="BJ15" s="37"/>
      <c r="BK15" s="37"/>
      <c r="BL15" s="37"/>
      <c r="BM15" s="37"/>
      <c r="BN15" s="36"/>
      <c r="BS15" s="38"/>
      <c r="BT15" s="37"/>
      <c r="BU15" s="37"/>
      <c r="BV15" s="37"/>
      <c r="BW15" s="37"/>
      <c r="BX15" s="37"/>
      <c r="BY15" s="37"/>
      <c r="BZ15" s="37"/>
      <c r="CA15" s="37"/>
      <c r="CB15" s="36"/>
    </row>
    <row r="16" spans="1:80">
      <c r="A16" s="39">
        <f t="shared" si="0"/>
        <v>13</v>
      </c>
      <c r="B16" t="str">
        <f>BF26</f>
        <v>_2_левым_добором</v>
      </c>
      <c r="H16" s="32"/>
      <c r="I16" s="31"/>
      <c r="J16" s="32"/>
      <c r="K16" s="40"/>
      <c r="L16" s="40"/>
      <c r="M16" s="40"/>
      <c r="N16" s="31"/>
      <c r="Q16" s="40"/>
      <c r="R16" s="35"/>
      <c r="S16" s="34"/>
      <c r="T16" s="34"/>
      <c r="U16" s="34"/>
      <c r="V16" s="33"/>
      <c r="AC16" s="32"/>
      <c r="AD16" s="40"/>
      <c r="AE16" s="40"/>
      <c r="AF16" s="40"/>
      <c r="AG16" s="31"/>
      <c r="AH16" s="32"/>
      <c r="AI16" s="31"/>
      <c r="AJ16" s="40"/>
      <c r="AT16" s="35"/>
      <c r="AU16" s="33"/>
      <c r="AV16" s="35"/>
      <c r="AW16" s="34"/>
      <c r="AX16" s="34"/>
      <c r="AY16" s="33"/>
      <c r="AZ16" s="35"/>
      <c r="BA16" s="34"/>
      <c r="BB16" s="34"/>
      <c r="BC16" s="33"/>
      <c r="BG16" s="35"/>
      <c r="BH16" s="34"/>
      <c r="BI16" s="34"/>
      <c r="BJ16" s="33"/>
      <c r="BK16" s="35"/>
      <c r="BL16" s="34"/>
      <c r="BM16" s="34"/>
      <c r="BN16" s="33"/>
      <c r="BS16" s="35"/>
      <c r="BT16" s="34"/>
      <c r="BU16" s="34"/>
      <c r="BV16" s="33"/>
      <c r="BW16" s="35"/>
      <c r="BX16" s="34"/>
      <c r="BY16" s="34"/>
      <c r="BZ16" s="33"/>
      <c r="CA16" s="35"/>
      <c r="CB16" s="33"/>
    </row>
    <row r="17" spans="1:80">
      <c r="A17" s="39">
        <f t="shared" si="0"/>
        <v>14</v>
      </c>
      <c r="B17" t="str">
        <f>AT13</f>
        <v>_2_верхним_и_лев_добором</v>
      </c>
      <c r="H17" s="32"/>
      <c r="I17" s="31"/>
      <c r="J17" s="32"/>
      <c r="K17" s="40"/>
      <c r="L17" s="40"/>
      <c r="M17" s="40"/>
      <c r="N17" s="31"/>
      <c r="Q17" s="40"/>
      <c r="R17" s="32"/>
      <c r="S17" s="40"/>
      <c r="T17" s="40"/>
      <c r="U17" s="40"/>
      <c r="V17" s="31"/>
      <c r="AC17" s="32"/>
      <c r="AD17" s="40"/>
      <c r="AE17" s="40"/>
      <c r="AF17" s="40"/>
      <c r="AG17" s="31"/>
      <c r="AH17" s="32"/>
      <c r="AI17" s="31"/>
      <c r="AJ17" s="40"/>
      <c r="AT17" s="32"/>
      <c r="AU17" s="31"/>
      <c r="AV17" s="32"/>
      <c r="AW17" s="40"/>
      <c r="AX17" s="40"/>
      <c r="AY17" s="31"/>
      <c r="AZ17" s="32"/>
      <c r="BA17" s="40"/>
      <c r="BB17" s="40"/>
      <c r="BC17" s="31"/>
      <c r="BG17" s="32"/>
      <c r="BH17" s="40"/>
      <c r="BI17" s="40"/>
      <c r="BJ17" s="31"/>
      <c r="BK17" s="32"/>
      <c r="BL17" s="40"/>
      <c r="BM17" s="40"/>
      <c r="BN17" s="31"/>
      <c r="BS17" s="32"/>
      <c r="BT17" s="40"/>
      <c r="BU17" s="40"/>
      <c r="BV17" s="31"/>
      <c r="BW17" s="32"/>
      <c r="BX17" s="40"/>
      <c r="BY17" s="40"/>
      <c r="BZ17" s="31"/>
      <c r="CA17" s="32"/>
      <c r="CB17" s="31"/>
    </row>
    <row r="18" spans="1:80">
      <c r="A18" s="39">
        <f t="shared" si="0"/>
        <v>15</v>
      </c>
      <c r="B18" t="str">
        <f>BE38</f>
        <v>_2_правым_добором</v>
      </c>
      <c r="H18" s="32"/>
      <c r="I18" s="31"/>
      <c r="J18" s="32"/>
      <c r="K18" s="40"/>
      <c r="L18" s="40"/>
      <c r="M18" s="40"/>
      <c r="N18" s="31"/>
      <c r="Q18" s="40"/>
      <c r="R18" s="32"/>
      <c r="S18" s="40"/>
      <c r="T18" s="40"/>
      <c r="U18" s="40"/>
      <c r="V18" s="31"/>
      <c r="AC18" s="32"/>
      <c r="AD18" s="40"/>
      <c r="AE18" s="40"/>
      <c r="AF18" s="40"/>
      <c r="AG18" s="31"/>
      <c r="AH18" s="32"/>
      <c r="AI18" s="31"/>
      <c r="AJ18" s="40"/>
      <c r="AT18" s="32"/>
      <c r="AU18" s="31"/>
      <c r="AV18" s="32"/>
      <c r="AW18" s="40"/>
      <c r="AX18" s="40"/>
      <c r="AY18" s="31"/>
      <c r="AZ18" s="32"/>
      <c r="BA18" s="40"/>
      <c r="BB18" s="40"/>
      <c r="BC18" s="31"/>
      <c r="BG18" s="32"/>
      <c r="BH18" s="40"/>
      <c r="BI18" s="40"/>
      <c r="BJ18" s="31"/>
      <c r="BK18" s="32"/>
      <c r="BL18" s="40"/>
      <c r="BM18" s="40"/>
      <c r="BN18" s="31"/>
      <c r="BS18" s="32"/>
      <c r="BT18" s="40"/>
      <c r="BU18" s="40"/>
      <c r="BV18" s="31"/>
      <c r="BW18" s="32"/>
      <c r="BX18" s="40"/>
      <c r="BY18" s="40"/>
      <c r="BZ18" s="31"/>
      <c r="CA18" s="32"/>
      <c r="CB18" s="31"/>
    </row>
    <row r="19" spans="1:80">
      <c r="A19" s="39">
        <f t="shared" si="0"/>
        <v>16</v>
      </c>
      <c r="B19" t="str">
        <f>BS13</f>
        <v>_2_верхним_и_прав_добором</v>
      </c>
      <c r="H19" s="32"/>
      <c r="I19" s="31"/>
      <c r="J19" s="32"/>
      <c r="K19" s="40"/>
      <c r="L19" s="40"/>
      <c r="M19" s="40"/>
      <c r="N19" s="31"/>
      <c r="Q19" s="40"/>
      <c r="R19" s="32"/>
      <c r="S19" s="40"/>
      <c r="T19" s="40"/>
      <c r="U19" s="40"/>
      <c r="V19" s="31"/>
      <c r="AC19" s="32"/>
      <c r="AD19" s="40"/>
      <c r="AE19" s="40"/>
      <c r="AF19" s="40"/>
      <c r="AG19" s="31"/>
      <c r="AH19" s="32"/>
      <c r="AI19" s="31"/>
      <c r="AJ19" s="40"/>
      <c r="AT19" s="32"/>
      <c r="AU19" s="31"/>
      <c r="AV19" s="32"/>
      <c r="AW19" s="40"/>
      <c r="AX19" s="40"/>
      <c r="AY19" s="31"/>
      <c r="AZ19" s="32"/>
      <c r="BA19" s="40"/>
      <c r="BB19" s="40"/>
      <c r="BC19" s="31"/>
      <c r="BG19" s="32"/>
      <c r="BH19" s="40"/>
      <c r="BI19" s="40"/>
      <c r="BJ19" s="31"/>
      <c r="BK19" s="32"/>
      <c r="BL19" s="40"/>
      <c r="BM19" s="40"/>
      <c r="BN19" s="31"/>
      <c r="BS19" s="32"/>
      <c r="BT19" s="40"/>
      <c r="BU19" s="40"/>
      <c r="BV19" s="31"/>
      <c r="BW19" s="32"/>
      <c r="BX19" s="40"/>
      <c r="BY19" s="40"/>
      <c r="BZ19" s="31"/>
      <c r="CA19" s="32"/>
      <c r="CB19" s="31"/>
    </row>
    <row r="20" spans="1:80">
      <c r="A20" s="39">
        <f>1+A19</f>
        <v>17</v>
      </c>
      <c r="B20" s="39" t="str">
        <f>BV38</f>
        <v>_2_2_мя_доборами</v>
      </c>
      <c r="H20" s="32"/>
      <c r="I20" s="31"/>
      <c r="J20" s="32"/>
      <c r="K20" s="40"/>
      <c r="L20" s="40"/>
      <c r="M20" s="40"/>
      <c r="N20" s="31"/>
      <c r="Q20" s="40"/>
      <c r="R20" s="32"/>
      <c r="S20" s="40"/>
      <c r="T20" s="40"/>
      <c r="U20" s="40"/>
      <c r="V20" s="31"/>
      <c r="AC20" s="32"/>
      <c r="AD20" s="40"/>
      <c r="AE20" s="40"/>
      <c r="AF20" s="40"/>
      <c r="AG20" s="31"/>
      <c r="AH20" s="32"/>
      <c r="AI20" s="31"/>
      <c r="AJ20" s="40"/>
      <c r="AT20" s="32"/>
      <c r="AU20" s="31"/>
      <c r="AV20" s="32"/>
      <c r="AW20" s="40"/>
      <c r="AX20" s="40"/>
      <c r="AY20" s="31"/>
      <c r="AZ20" s="32"/>
      <c r="BA20" s="40"/>
      <c r="BB20" s="40"/>
      <c r="BC20" s="31"/>
      <c r="BG20" s="32"/>
      <c r="BH20" s="40"/>
      <c r="BI20" s="40"/>
      <c r="BJ20" s="31"/>
      <c r="BK20" s="32"/>
      <c r="BL20" s="40"/>
      <c r="BM20" s="40"/>
      <c r="BN20" s="31"/>
      <c r="BS20" s="32"/>
      <c r="BT20" s="40"/>
      <c r="BU20" s="40"/>
      <c r="BV20" s="31"/>
      <c r="BW20" s="32"/>
      <c r="BX20" s="40"/>
      <c r="BY20" s="40"/>
      <c r="BZ20" s="31"/>
      <c r="CA20" s="32"/>
      <c r="CB20" s="31"/>
    </row>
    <row r="21" spans="1:80">
      <c r="A21" s="39">
        <f>1+A20</f>
        <v>18</v>
      </c>
      <c r="B21" t="str">
        <f>BE50</f>
        <v>_2_3_мя_доборами</v>
      </c>
      <c r="H21" s="32"/>
      <c r="I21" s="31"/>
      <c r="J21" s="32"/>
      <c r="K21" s="40"/>
      <c r="L21" s="40"/>
      <c r="M21" s="40"/>
      <c r="N21" s="31"/>
      <c r="Q21" s="40"/>
      <c r="R21" s="32"/>
      <c r="S21" s="40"/>
      <c r="T21" s="40"/>
      <c r="U21" s="40"/>
      <c r="V21" s="31"/>
      <c r="AC21" s="32"/>
      <c r="AD21" s="40"/>
      <c r="AE21" s="40"/>
      <c r="AF21" s="40"/>
      <c r="AG21" s="31"/>
      <c r="AH21" s="32"/>
      <c r="AI21" s="31"/>
      <c r="AJ21" s="40"/>
      <c r="AT21" s="32"/>
      <c r="AU21" s="31"/>
      <c r="AV21" s="32"/>
      <c r="AW21" s="40"/>
      <c r="AX21" s="40"/>
      <c r="AY21" s="31"/>
      <c r="AZ21" s="32"/>
      <c r="BA21" s="40"/>
      <c r="BB21" s="40"/>
      <c r="BC21" s="31"/>
      <c r="BG21" s="32"/>
      <c r="BH21" s="40"/>
      <c r="BI21" s="40"/>
      <c r="BJ21" s="31"/>
      <c r="BK21" s="32"/>
      <c r="BL21" s="40"/>
      <c r="BM21" s="40"/>
      <c r="BN21" s="31"/>
      <c r="BS21" s="32"/>
      <c r="BT21" s="40"/>
      <c r="BU21" s="40"/>
      <c r="BV21" s="31"/>
      <c r="BW21" s="32"/>
      <c r="BX21" s="40"/>
      <c r="BY21" s="40"/>
      <c r="BZ21" s="31"/>
      <c r="CA21" s="32"/>
      <c r="CB21" s="31"/>
    </row>
    <row r="22" spans="1:80">
      <c r="H22" s="32"/>
      <c r="I22" s="31"/>
      <c r="J22" s="32"/>
      <c r="K22" s="40"/>
      <c r="L22" s="40"/>
      <c r="M22" s="40"/>
      <c r="N22" s="31"/>
      <c r="Q22" s="40"/>
      <c r="R22" s="32"/>
      <c r="S22" s="40"/>
      <c r="T22" s="40"/>
      <c r="U22" s="40"/>
      <c r="V22" s="31"/>
      <c r="AC22" s="32"/>
      <c r="AD22" s="40"/>
      <c r="AE22" s="40"/>
      <c r="AF22" s="40"/>
      <c r="AG22" s="31"/>
      <c r="AH22" s="32"/>
      <c r="AI22" s="31"/>
      <c r="AJ22" s="40"/>
      <c r="AT22" s="32"/>
      <c r="AU22" s="31"/>
      <c r="AV22" s="32"/>
      <c r="AW22" s="40"/>
      <c r="AX22" s="40"/>
      <c r="AY22" s="31"/>
      <c r="AZ22" s="32"/>
      <c r="BA22" s="40"/>
      <c r="BB22" s="40"/>
      <c r="BC22" s="31"/>
      <c r="BG22" s="32"/>
      <c r="BH22" s="40"/>
      <c r="BI22" s="40"/>
      <c r="BJ22" s="31"/>
      <c r="BK22" s="32"/>
      <c r="BL22" s="40"/>
      <c r="BM22" s="40"/>
      <c r="BN22" s="31"/>
      <c r="BS22" s="32"/>
      <c r="BT22" s="40"/>
      <c r="BU22" s="40"/>
      <c r="BV22" s="31"/>
      <c r="BW22" s="32"/>
      <c r="BX22" s="40"/>
      <c r="BY22" s="40"/>
      <c r="BZ22" s="31"/>
      <c r="CA22" s="32"/>
      <c r="CB22" s="31"/>
    </row>
    <row r="23" spans="1:80" ht="15.75" thickBot="1">
      <c r="H23" s="30"/>
      <c r="I23" s="28"/>
      <c r="J23" s="30"/>
      <c r="K23" s="29"/>
      <c r="L23" s="29"/>
      <c r="M23" s="29"/>
      <c r="N23" s="28"/>
      <c r="Q23" s="40"/>
      <c r="R23" s="30"/>
      <c r="S23" s="29"/>
      <c r="T23" s="29"/>
      <c r="U23" s="29"/>
      <c r="V23" s="28"/>
      <c r="AC23" s="30"/>
      <c r="AD23" s="29"/>
      <c r="AE23" s="29"/>
      <c r="AF23" s="29"/>
      <c r="AG23" s="28"/>
      <c r="AH23" s="30"/>
      <c r="AI23" s="28"/>
      <c r="AT23" s="30"/>
      <c r="AU23" s="28"/>
      <c r="AV23" s="30"/>
      <c r="AW23" s="29"/>
      <c r="AX23" s="29"/>
      <c r="AY23" s="28"/>
      <c r="AZ23" s="30"/>
      <c r="BA23" s="29"/>
      <c r="BB23" s="29"/>
      <c r="BC23" s="28"/>
      <c r="BG23" s="30"/>
      <c r="BH23" s="29"/>
      <c r="BI23" s="29"/>
      <c r="BJ23" s="28"/>
      <c r="BK23" s="30"/>
      <c r="BL23" s="29"/>
      <c r="BM23" s="29"/>
      <c r="BN23" s="28"/>
      <c r="BS23" s="30"/>
      <c r="BT23" s="29"/>
      <c r="BU23" s="29"/>
      <c r="BV23" s="28"/>
      <c r="BW23" s="30"/>
      <c r="BX23" s="29"/>
      <c r="BY23" s="29"/>
      <c r="BZ23" s="28"/>
      <c r="CA23" s="30"/>
      <c r="CB23" s="28"/>
    </row>
    <row r="24" spans="1:80">
      <c r="A24" s="39" t="str">
        <f>IF(OR(Номер_открывания_1=A5,Номер_открывания_1=A6,Номер_открывания_1=A8,Номер_открывания_1=A15,Номер_открывания_1=A16,Номер_открывания_1=A18),"Добор 1 шт.",IF(OR(Номер_открывания_1=A7,Номер_открывания_1=A9,Номер_открывания_1=A10,Номер_открывания_1=A17,Номер_открывания_1=A19,Номер_открывания_1=A20),"Добор 2 шт.",IF(OR(Номер_открывания_1=A11,Номер_открывания_1=A21),"Добор 3 шт.","")))</f>
        <v/>
      </c>
      <c r="B24" t="str">
        <f>IF(OR(Номер_открывания_2=A5,Номер_открывания_2=A6,Номер_открывания_2=A8,Номер_открывания_2=A15,Номер_открывания_2=A16,Номер_открывания_2=A18),"Добор 1 шт.",IF(OR(Номер_открывания_2=A7,Номер_открывания_2=A9,Номер_открывания_2=A10,Номер_открывания_2=A17,Номер_открывания_2=A19,Номер_открывания_2=A20),"Добор 2 шт.",IF(OR(Номер_открывания_2=A11,Номер_открывания_2=A21),"Добор 3 шт.","")))</f>
        <v/>
      </c>
      <c r="C24" t="str">
        <f>IF(OR(Номер_открывания_3=A5,Номер_открывания_3=A6,Номер_открывания_3=A8,Номер_открывания_3=A15,Номер_открывания_3=A16,Номер_открывания_3=A18),"Добор 1 шт.",IF(OR(Номер_открывания_3=A7,Номер_открывания_3=A9,Номер_открывания_3=A10,Номер_открывания_3=A17,Номер_открывания_3=A19,Номер_открывания_3=A20),"Добор 2 шт.",IF(OR(Номер_открывания_3=A11,Номер_открывания_3=A21),"Добор 3 шт.","")))</f>
        <v/>
      </c>
    </row>
    <row r="25" spans="1:80">
      <c r="A25" s="271" t="str">
        <f>IF(OR(Номер_открывания_1=A14,Номер_открывания_1=A15,Номер_открывания_1=A16,Номер_открывания_1=A17,Номер_открывания_1=A18,Номер_открывания_1=A19,Номер_открывания_1=A20,Номер_открывания_1=A21),"2-х створ.","")</f>
        <v/>
      </c>
      <c r="B25" s="271" t="str">
        <f>IF(OR(Номер_открывания_2=A14,Номер_открывания_2=A15,Номер_открывания_2=A16,Номер_открывания_2=A17,Номер_открывания_2=A18,Номер_открывания_2=A19,Номер_открывания_2=A20,Номер_открывания_2=A21),"2-х створ.","")</f>
        <v/>
      </c>
      <c r="C25" t="str">
        <f>IF(OR(Номер_открывания_3=A14,Номер_открывания_3=A15,Номер_открывания_3=A16,Номер_открывания_3=A17,Номер_открывания_3=A18,Номер_открывания_3=A19,Номер_открывания_3=A20,Номер_открывания_3=A21),"2-х створ.","")</f>
        <v/>
      </c>
      <c r="BG25" s="39"/>
      <c r="BH25" s="39"/>
      <c r="BI25" s="39"/>
      <c r="BJ25" s="39"/>
      <c r="BK25" s="39"/>
      <c r="BL25" s="39"/>
      <c r="BM25" s="39"/>
      <c r="BN25" s="39"/>
    </row>
    <row r="26" spans="1:80">
      <c r="A26" s="39" t="str">
        <f>IF(OR(Номер_открывания_1=A4,Номер_открывания_1=A5,Номер_открывания_1=A12,Номер_открывания_1=A13),"выбор 2-х створ.","")</f>
        <v>выбор 2-х створ.</v>
      </c>
      <c r="B26" t="str">
        <f>IF(OR(Номер_открывания_2=A4,Номер_открывания_2=A5,Номер_открывания_2=A12,Номер_открывания_2=A13),"выбор 2-х створ.","")</f>
        <v>выбор 2-х створ.</v>
      </c>
      <c r="C26" t="str">
        <f>IF(OR(Номер_открывания_3=A4,Номер_открывания_3=A5,Номер_открывания_3=A12,Номер_открывания_3=A13),"выбор 2-х створ.","")</f>
        <v>выбор 2-х створ.</v>
      </c>
      <c r="R26" t="s">
        <v>365</v>
      </c>
      <c r="BF26" s="39" t="s">
        <v>366</v>
      </c>
    </row>
    <row r="27" spans="1:80" ht="15.75" thickBot="1">
      <c r="S27" s="1"/>
      <c r="T27" s="1"/>
      <c r="U27" s="1"/>
      <c r="V27" s="1"/>
      <c r="W27" s="1"/>
      <c r="BG27" s="39"/>
      <c r="BH27" s="39"/>
      <c r="BI27" s="39"/>
      <c r="BJ27" s="39"/>
      <c r="BK27" s="39"/>
      <c r="BL27" s="39"/>
      <c r="BM27" s="39"/>
      <c r="BN27" s="39"/>
    </row>
    <row r="28" spans="1:80">
      <c r="A28" s="635" t="s">
        <v>610</v>
      </c>
      <c r="B28" s="33"/>
      <c r="R28" s="35"/>
      <c r="S28" s="33"/>
      <c r="T28" s="35"/>
      <c r="U28" s="34"/>
      <c r="V28" s="34"/>
      <c r="W28" s="33"/>
      <c r="BE28" s="35"/>
      <c r="BF28" s="33"/>
      <c r="BG28" s="35"/>
      <c r="BH28" s="34"/>
      <c r="BI28" s="34"/>
      <c r="BJ28" s="33"/>
      <c r="BK28" s="35"/>
      <c r="BL28" s="34"/>
      <c r="BM28" s="34"/>
      <c r="BN28" s="33"/>
    </row>
    <row r="29" spans="1:80">
      <c r="A29" s="636" t="s">
        <v>611</v>
      </c>
      <c r="B29" s="637"/>
      <c r="R29" s="32"/>
      <c r="S29" s="31"/>
      <c r="T29" s="32"/>
      <c r="U29" s="1"/>
      <c r="V29" s="1"/>
      <c r="W29" s="31"/>
      <c r="BE29" s="32"/>
      <c r="BF29" s="31"/>
      <c r="BG29" s="32"/>
      <c r="BH29" s="40"/>
      <c r="BI29" s="40"/>
      <c r="BJ29" s="31"/>
      <c r="BK29" s="32"/>
      <c r="BL29" s="40"/>
      <c r="BM29" s="40"/>
      <c r="BN29" s="31"/>
    </row>
    <row r="30" spans="1:80" ht="15.75" thickBot="1">
      <c r="A30" s="638" t="s">
        <v>609</v>
      </c>
      <c r="B30" s="28"/>
      <c r="R30" s="32"/>
      <c r="S30" s="31"/>
      <c r="T30" s="32"/>
      <c r="U30" s="1"/>
      <c r="V30" s="1"/>
      <c r="W30" s="31"/>
      <c r="BE30" s="32"/>
      <c r="BF30" s="31"/>
      <c r="BG30" s="32"/>
      <c r="BH30" s="40"/>
      <c r="BI30" s="40"/>
      <c r="BJ30" s="31"/>
      <c r="BK30" s="32"/>
      <c r="BL30" s="40"/>
      <c r="BM30" s="40"/>
      <c r="BN30" s="31"/>
    </row>
    <row r="31" spans="1:80">
      <c r="R31" s="32"/>
      <c r="S31" s="31"/>
      <c r="T31" s="32"/>
      <c r="U31" s="1"/>
      <c r="V31" s="1"/>
      <c r="W31" s="31"/>
      <c r="BE31" s="32"/>
      <c r="BF31" s="31"/>
      <c r="BG31" s="32"/>
      <c r="BH31" s="40"/>
      <c r="BI31" s="40"/>
      <c r="BJ31" s="31"/>
      <c r="BK31" s="32"/>
      <c r="BL31" s="40"/>
      <c r="BM31" s="40"/>
      <c r="BN31" s="31"/>
    </row>
    <row r="32" spans="1:80">
      <c r="R32" s="32"/>
      <c r="S32" s="31"/>
      <c r="T32" s="32"/>
      <c r="U32" s="1"/>
      <c r="V32" s="1"/>
      <c r="W32" s="31"/>
      <c r="BE32" s="32"/>
      <c r="BF32" s="31"/>
      <c r="BG32" s="32"/>
      <c r="BH32" s="40"/>
      <c r="BI32" s="40"/>
      <c r="BJ32" s="31"/>
      <c r="BK32" s="32"/>
      <c r="BL32" s="40"/>
      <c r="BM32" s="40"/>
      <c r="BN32" s="31"/>
    </row>
    <row r="33" spans="18:85">
      <c r="R33" s="32"/>
      <c r="S33" s="31"/>
      <c r="T33" s="32"/>
      <c r="U33" s="1"/>
      <c r="V33" s="1"/>
      <c r="W33" s="31"/>
      <c r="BE33" s="32"/>
      <c r="BF33" s="31"/>
      <c r="BG33" s="32"/>
      <c r="BH33" s="40"/>
      <c r="BI33" s="40"/>
      <c r="BJ33" s="31"/>
      <c r="BK33" s="32"/>
      <c r="BL33" s="40"/>
      <c r="BM33" s="40"/>
      <c r="BN33" s="31"/>
    </row>
    <row r="34" spans="18:85">
      <c r="R34" s="32"/>
      <c r="S34" s="31"/>
      <c r="T34" s="32"/>
      <c r="U34" s="1"/>
      <c r="V34" s="1"/>
      <c r="W34" s="31"/>
      <c r="BE34" s="32"/>
      <c r="BF34" s="31"/>
      <c r="BG34" s="32"/>
      <c r="BH34" s="40"/>
      <c r="BI34" s="40"/>
      <c r="BJ34" s="31"/>
      <c r="BK34" s="32"/>
      <c r="BL34" s="40"/>
      <c r="BM34" s="40"/>
      <c r="BN34" s="31"/>
    </row>
    <row r="35" spans="18:85" ht="15.75" thickBot="1">
      <c r="R35" s="30"/>
      <c r="S35" s="28"/>
      <c r="T35" s="30"/>
      <c r="U35" s="29"/>
      <c r="V35" s="29"/>
      <c r="W35" s="28"/>
      <c r="BE35" s="30"/>
      <c r="BF35" s="28"/>
      <c r="BG35" s="30"/>
      <c r="BH35" s="29"/>
      <c r="BI35" s="29"/>
      <c r="BJ35" s="28"/>
      <c r="BK35" s="30"/>
      <c r="BL35" s="29"/>
      <c r="BM35" s="29"/>
      <c r="BN35" s="28"/>
    </row>
    <row r="38" spans="18:85">
      <c r="R38" t="s">
        <v>367</v>
      </c>
      <c r="AD38" s="39" t="s">
        <v>547</v>
      </c>
      <c r="AI38" s="39"/>
      <c r="AJ38" s="39"/>
      <c r="AK38" s="39"/>
      <c r="BE38" s="39" t="s">
        <v>368</v>
      </c>
      <c r="BV38" s="39" t="s">
        <v>548</v>
      </c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</row>
    <row r="39" spans="18:85" ht="15.75" thickBot="1">
      <c r="AI39" s="39"/>
      <c r="AJ39" s="39"/>
      <c r="AK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</row>
    <row r="40" spans="18:85">
      <c r="R40" s="35"/>
      <c r="S40" s="34"/>
      <c r="T40" s="34"/>
      <c r="U40" s="34"/>
      <c r="V40" s="35"/>
      <c r="W40" s="33"/>
      <c r="AD40" s="35"/>
      <c r="AE40" s="34"/>
      <c r="AF40" s="35"/>
      <c r="AG40" s="34"/>
      <c r="AH40" s="34"/>
      <c r="AI40" s="34"/>
      <c r="AJ40" s="33"/>
      <c r="AK40" s="35"/>
      <c r="AL40" s="33"/>
      <c r="BE40" s="35"/>
      <c r="BF40" s="34"/>
      <c r="BG40" s="34"/>
      <c r="BH40" s="33"/>
      <c r="BI40" s="35"/>
      <c r="BJ40" s="34"/>
      <c r="BK40" s="34"/>
      <c r="BL40" s="33"/>
      <c r="BM40" s="35"/>
      <c r="BN40" s="33"/>
      <c r="BV40" s="35"/>
      <c r="BW40" s="33"/>
      <c r="BX40" s="35"/>
      <c r="BY40" s="34"/>
      <c r="BZ40" s="34"/>
      <c r="CA40" s="33"/>
      <c r="CB40" s="35"/>
      <c r="CC40" s="34"/>
      <c r="CD40" s="34"/>
      <c r="CE40" s="33"/>
      <c r="CF40" s="35"/>
      <c r="CG40" s="33"/>
    </row>
    <row r="41" spans="18:85">
      <c r="R41" s="32"/>
      <c r="S41" s="1"/>
      <c r="T41" s="1"/>
      <c r="U41" s="1"/>
      <c r="V41" s="32"/>
      <c r="W41" s="31"/>
      <c r="AD41" s="32"/>
      <c r="AE41" s="40"/>
      <c r="AF41" s="32"/>
      <c r="AG41" s="40"/>
      <c r="AH41" s="40"/>
      <c r="AI41" s="40"/>
      <c r="AJ41" s="31"/>
      <c r="AK41" s="32"/>
      <c r="AL41" s="31"/>
      <c r="BE41" s="32"/>
      <c r="BF41" s="40"/>
      <c r="BG41" s="40"/>
      <c r="BH41" s="31"/>
      <c r="BI41" s="32"/>
      <c r="BJ41" s="40"/>
      <c r="BK41" s="40"/>
      <c r="BL41" s="31"/>
      <c r="BM41" s="32"/>
      <c r="BN41" s="31"/>
      <c r="BV41" s="32"/>
      <c r="BW41" s="31"/>
      <c r="BX41" s="32"/>
      <c r="BY41" s="40"/>
      <c r="BZ41" s="40"/>
      <c r="CA41" s="31"/>
      <c r="CB41" s="32"/>
      <c r="CC41" s="40"/>
      <c r="CD41" s="40"/>
      <c r="CE41" s="31"/>
      <c r="CF41" s="32"/>
      <c r="CG41" s="31"/>
    </row>
    <row r="42" spans="18:85">
      <c r="R42" s="32"/>
      <c r="S42" s="1"/>
      <c r="T42" s="1"/>
      <c r="U42" s="1"/>
      <c r="V42" s="32"/>
      <c r="W42" s="31"/>
      <c r="AD42" s="32"/>
      <c r="AE42" s="40"/>
      <c r="AF42" s="32"/>
      <c r="AG42" s="40"/>
      <c r="AH42" s="40"/>
      <c r="AI42" s="40"/>
      <c r="AJ42" s="31"/>
      <c r="AK42" s="32"/>
      <c r="AL42" s="31"/>
      <c r="BE42" s="32"/>
      <c r="BF42" s="40"/>
      <c r="BG42" s="40"/>
      <c r="BH42" s="31"/>
      <c r="BI42" s="32"/>
      <c r="BJ42" s="40"/>
      <c r="BK42" s="40"/>
      <c r="BL42" s="31"/>
      <c r="BM42" s="32"/>
      <c r="BN42" s="31"/>
      <c r="BV42" s="32"/>
      <c r="BW42" s="31"/>
      <c r="BX42" s="32"/>
      <c r="BY42" s="40"/>
      <c r="BZ42" s="40"/>
      <c r="CA42" s="31"/>
      <c r="CB42" s="32"/>
      <c r="CC42" s="40"/>
      <c r="CD42" s="40"/>
      <c r="CE42" s="31"/>
      <c r="CF42" s="32"/>
      <c r="CG42" s="31"/>
    </row>
    <row r="43" spans="18:85">
      <c r="R43" s="32"/>
      <c r="S43" s="1"/>
      <c r="T43" s="1"/>
      <c r="U43" s="1"/>
      <c r="V43" s="32"/>
      <c r="W43" s="31"/>
      <c r="AD43" s="32"/>
      <c r="AE43" s="40"/>
      <c r="AF43" s="32"/>
      <c r="AG43" s="40"/>
      <c r="AH43" s="40"/>
      <c r="AI43" s="40"/>
      <c r="AJ43" s="31"/>
      <c r="AK43" s="32"/>
      <c r="AL43" s="31"/>
      <c r="BE43" s="32"/>
      <c r="BF43" s="40"/>
      <c r="BG43" s="40"/>
      <c r="BH43" s="31"/>
      <c r="BI43" s="32"/>
      <c r="BJ43" s="40"/>
      <c r="BK43" s="40"/>
      <c r="BL43" s="31"/>
      <c r="BM43" s="32"/>
      <c r="BN43" s="31"/>
      <c r="BV43" s="32"/>
      <c r="BW43" s="31"/>
      <c r="BX43" s="32"/>
      <c r="BY43" s="40"/>
      <c r="BZ43" s="40"/>
      <c r="CA43" s="31"/>
      <c r="CB43" s="32"/>
      <c r="CC43" s="40"/>
      <c r="CD43" s="40"/>
      <c r="CE43" s="31"/>
      <c r="CF43" s="32"/>
      <c r="CG43" s="31"/>
    </row>
    <row r="44" spans="18:85">
      <c r="R44" s="32"/>
      <c r="S44" s="1"/>
      <c r="T44" s="1"/>
      <c r="U44" s="1"/>
      <c r="V44" s="32"/>
      <c r="W44" s="31"/>
      <c r="AD44" s="32"/>
      <c r="AE44" s="40"/>
      <c r="AF44" s="32"/>
      <c r="AG44" s="40"/>
      <c r="AH44" s="40"/>
      <c r="AI44" s="40"/>
      <c r="AJ44" s="31"/>
      <c r="AK44" s="32"/>
      <c r="AL44" s="31"/>
      <c r="BE44" s="32"/>
      <c r="BF44" s="40"/>
      <c r="BG44" s="40"/>
      <c r="BH44" s="31"/>
      <c r="BI44" s="32"/>
      <c r="BJ44" s="40"/>
      <c r="BK44" s="40"/>
      <c r="BL44" s="31"/>
      <c r="BM44" s="32"/>
      <c r="BN44" s="31"/>
      <c r="BV44" s="32"/>
      <c r="BW44" s="31"/>
      <c r="BX44" s="32"/>
      <c r="BY44" s="40"/>
      <c r="BZ44" s="40"/>
      <c r="CA44" s="31"/>
      <c r="CB44" s="32"/>
      <c r="CC44" s="40"/>
      <c r="CD44" s="40"/>
      <c r="CE44" s="31"/>
      <c r="CF44" s="32"/>
      <c r="CG44" s="31"/>
    </row>
    <row r="45" spans="18:85">
      <c r="R45" s="32"/>
      <c r="S45" s="1"/>
      <c r="T45" s="1"/>
      <c r="U45" s="1"/>
      <c r="V45" s="32"/>
      <c r="W45" s="31"/>
      <c r="AD45" s="32"/>
      <c r="AE45" s="40"/>
      <c r="AF45" s="32"/>
      <c r="AG45" s="40"/>
      <c r="AH45" s="40"/>
      <c r="AI45" s="40"/>
      <c r="AJ45" s="31"/>
      <c r="AK45" s="32"/>
      <c r="AL45" s="31"/>
      <c r="BE45" s="32"/>
      <c r="BF45" s="40"/>
      <c r="BG45" s="40"/>
      <c r="BH45" s="31"/>
      <c r="BI45" s="32"/>
      <c r="BJ45" s="40"/>
      <c r="BK45" s="40"/>
      <c r="BL45" s="31"/>
      <c r="BM45" s="32"/>
      <c r="BN45" s="31"/>
      <c r="BV45" s="32"/>
      <c r="BW45" s="31"/>
      <c r="BX45" s="32"/>
      <c r="BY45" s="40"/>
      <c r="BZ45" s="40"/>
      <c r="CA45" s="31"/>
      <c r="CB45" s="32"/>
      <c r="CC45" s="40"/>
      <c r="CD45" s="40"/>
      <c r="CE45" s="31"/>
      <c r="CF45" s="32"/>
      <c r="CG45" s="31"/>
    </row>
    <row r="46" spans="18:85">
      <c r="R46" s="32"/>
      <c r="S46" s="1"/>
      <c r="T46" s="1"/>
      <c r="U46" s="1"/>
      <c r="V46" s="32"/>
      <c r="W46" s="31"/>
      <c r="AD46" s="32"/>
      <c r="AE46" s="40"/>
      <c r="AF46" s="32"/>
      <c r="AG46" s="40"/>
      <c r="AH46" s="40"/>
      <c r="AI46" s="40"/>
      <c r="AJ46" s="31"/>
      <c r="AK46" s="32"/>
      <c r="AL46" s="31"/>
      <c r="BE46" s="32"/>
      <c r="BF46" s="40"/>
      <c r="BG46" s="40"/>
      <c r="BH46" s="31"/>
      <c r="BI46" s="32"/>
      <c r="BJ46" s="40"/>
      <c r="BK46" s="40"/>
      <c r="BL46" s="31"/>
      <c r="BM46" s="32"/>
      <c r="BN46" s="31"/>
      <c r="BV46" s="32"/>
      <c r="BW46" s="31"/>
      <c r="BX46" s="32"/>
      <c r="BY46" s="40"/>
      <c r="BZ46" s="40"/>
      <c r="CA46" s="31"/>
      <c r="CB46" s="32"/>
      <c r="CC46" s="40"/>
      <c r="CD46" s="40"/>
      <c r="CE46" s="31"/>
      <c r="CF46" s="32"/>
      <c r="CG46" s="31"/>
    </row>
    <row r="47" spans="18:85" ht="15.75" thickBot="1">
      <c r="R47" s="30"/>
      <c r="S47" s="29"/>
      <c r="T47" s="29"/>
      <c r="U47" s="29"/>
      <c r="V47" s="30"/>
      <c r="W47" s="28"/>
      <c r="AD47" s="30"/>
      <c r="AE47" s="29"/>
      <c r="AF47" s="30"/>
      <c r="AG47" s="29"/>
      <c r="AH47" s="29"/>
      <c r="AI47" s="29"/>
      <c r="AJ47" s="28"/>
      <c r="AK47" s="30"/>
      <c r="AL47" s="28"/>
      <c r="BE47" s="30"/>
      <c r="BF47" s="29"/>
      <c r="BG47" s="29"/>
      <c r="BH47" s="28"/>
      <c r="BI47" s="30"/>
      <c r="BJ47" s="29"/>
      <c r="BK47" s="29"/>
      <c r="BL47" s="28"/>
      <c r="BM47" s="30"/>
      <c r="BN47" s="28"/>
      <c r="BV47" s="30"/>
      <c r="BW47" s="28"/>
      <c r="BX47" s="30"/>
      <c r="BY47" s="29"/>
      <c r="BZ47" s="29"/>
      <c r="CA47" s="28"/>
      <c r="CB47" s="30"/>
      <c r="CC47" s="29"/>
      <c r="CD47" s="29"/>
      <c r="CE47" s="28"/>
      <c r="CF47" s="30"/>
      <c r="CG47" s="28"/>
    </row>
    <row r="50" spans="18:68">
      <c r="R50" t="s">
        <v>369</v>
      </c>
      <c r="BE50" s="39" t="s">
        <v>372</v>
      </c>
    </row>
    <row r="51" spans="18:68" ht="15.75" thickBot="1"/>
    <row r="52" spans="18:68" ht="15.75" thickBot="1">
      <c r="R52" s="38"/>
      <c r="S52" s="37"/>
      <c r="T52" s="37"/>
      <c r="U52" s="37"/>
      <c r="V52" s="37"/>
      <c r="W52" s="37"/>
      <c r="X52" s="37"/>
      <c r="Y52" s="37"/>
      <c r="Z52" s="36"/>
      <c r="AA52" s="40"/>
      <c r="AB52" s="40"/>
      <c r="AC52" s="40"/>
      <c r="AD52" s="40"/>
      <c r="AE52" s="40"/>
      <c r="AF52" s="40"/>
      <c r="AG52" s="40"/>
      <c r="AH52" s="40"/>
      <c r="AI52" s="40"/>
      <c r="BE52" s="38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6"/>
    </row>
    <row r="53" spans="18:68">
      <c r="R53" s="32"/>
      <c r="S53" s="40"/>
      <c r="T53" s="32"/>
      <c r="U53" s="40"/>
      <c r="V53" s="40"/>
      <c r="W53" s="40"/>
      <c r="X53" s="31"/>
      <c r="Y53" s="32"/>
      <c r="Z53" s="31"/>
      <c r="AA53" s="40"/>
      <c r="AB53" s="40"/>
      <c r="AC53" s="40"/>
      <c r="AD53" s="40"/>
      <c r="AE53" s="40"/>
      <c r="AF53" s="40"/>
      <c r="AG53" s="40"/>
      <c r="AH53" s="40"/>
      <c r="AI53" s="40"/>
      <c r="BE53" s="35"/>
      <c r="BF53" s="33"/>
      <c r="BG53" s="35"/>
      <c r="BH53" s="34"/>
      <c r="BI53" s="34"/>
      <c r="BJ53" s="33"/>
      <c r="BK53" s="35"/>
      <c r="BL53" s="34"/>
      <c r="BM53" s="34"/>
      <c r="BN53" s="33"/>
      <c r="BO53" s="35"/>
      <c r="BP53" s="33"/>
    </row>
    <row r="54" spans="18:68">
      <c r="R54" s="32"/>
      <c r="S54" s="40"/>
      <c r="T54" s="32"/>
      <c r="U54" s="40"/>
      <c r="V54" s="40"/>
      <c r="W54" s="40"/>
      <c r="X54" s="31"/>
      <c r="Y54" s="32"/>
      <c r="Z54" s="31"/>
      <c r="AA54" s="40"/>
      <c r="AB54" s="40"/>
      <c r="AC54" s="40"/>
      <c r="AD54" s="40"/>
      <c r="AE54" s="40"/>
      <c r="AF54" s="40"/>
      <c r="AG54" s="40"/>
      <c r="AH54" s="40"/>
      <c r="AI54" s="40"/>
      <c r="BE54" s="32"/>
      <c r="BF54" s="31"/>
      <c r="BG54" s="32"/>
      <c r="BH54" s="40"/>
      <c r="BI54" s="40"/>
      <c r="BJ54" s="31"/>
      <c r="BK54" s="32"/>
      <c r="BL54" s="40"/>
      <c r="BM54" s="40"/>
      <c r="BN54" s="31"/>
      <c r="BO54" s="32"/>
      <c r="BP54" s="31"/>
    </row>
    <row r="55" spans="18:68">
      <c r="R55" s="32"/>
      <c r="S55" s="40"/>
      <c r="T55" s="32"/>
      <c r="U55" s="40"/>
      <c r="V55" s="40"/>
      <c r="W55" s="40"/>
      <c r="X55" s="31"/>
      <c r="Y55" s="32"/>
      <c r="Z55" s="31"/>
      <c r="AA55" s="40"/>
      <c r="AB55" s="40"/>
      <c r="AC55" s="40"/>
      <c r="AD55" s="40"/>
      <c r="AE55" s="40"/>
      <c r="AF55" s="40"/>
      <c r="AG55" s="40"/>
      <c r="AH55" s="40"/>
      <c r="AI55" s="40"/>
      <c r="BE55" s="32"/>
      <c r="BF55" s="31"/>
      <c r="BG55" s="32"/>
      <c r="BH55" s="40"/>
      <c r="BI55" s="40"/>
      <c r="BJ55" s="31"/>
      <c r="BK55" s="32"/>
      <c r="BL55" s="40"/>
      <c r="BM55" s="40"/>
      <c r="BN55" s="31"/>
      <c r="BO55" s="32"/>
      <c r="BP55" s="31"/>
    </row>
    <row r="56" spans="18:68">
      <c r="R56" s="32"/>
      <c r="S56" s="40"/>
      <c r="T56" s="32"/>
      <c r="U56" s="40"/>
      <c r="V56" s="40"/>
      <c r="W56" s="40"/>
      <c r="X56" s="31"/>
      <c r="Y56" s="32"/>
      <c r="Z56" s="31"/>
      <c r="AA56" s="40"/>
      <c r="AB56" s="40"/>
      <c r="AC56" s="40"/>
      <c r="AD56" s="40"/>
      <c r="AE56" s="40"/>
      <c r="AF56" s="40"/>
      <c r="AG56" s="40"/>
      <c r="AH56" s="40"/>
      <c r="AI56" s="40"/>
      <c r="BE56" s="32"/>
      <c r="BF56" s="31"/>
      <c r="BG56" s="32"/>
      <c r="BH56" s="40"/>
      <c r="BI56" s="40"/>
      <c r="BJ56" s="31"/>
      <c r="BK56" s="32"/>
      <c r="BL56" s="40"/>
      <c r="BM56" s="40"/>
      <c r="BN56" s="31"/>
      <c r="BO56" s="32"/>
      <c r="BP56" s="31"/>
    </row>
    <row r="57" spans="18:68">
      <c r="R57" s="32"/>
      <c r="S57" s="40"/>
      <c r="T57" s="32"/>
      <c r="U57" s="40"/>
      <c r="V57" s="40"/>
      <c r="W57" s="40"/>
      <c r="X57" s="31"/>
      <c r="Y57" s="32"/>
      <c r="Z57" s="31"/>
      <c r="AA57" s="40"/>
      <c r="AB57" s="40"/>
      <c r="AC57" s="40"/>
      <c r="AD57" s="40"/>
      <c r="AE57" s="40"/>
      <c r="AF57" s="40"/>
      <c r="AG57" s="40"/>
      <c r="AH57" s="40"/>
      <c r="AI57" s="40"/>
      <c r="BE57" s="32"/>
      <c r="BF57" s="31"/>
      <c r="BG57" s="32"/>
      <c r="BH57" s="40"/>
      <c r="BI57" s="40"/>
      <c r="BJ57" s="31"/>
      <c r="BK57" s="32"/>
      <c r="BL57" s="40"/>
      <c r="BM57" s="40"/>
      <c r="BN57" s="31"/>
      <c r="BO57" s="32"/>
      <c r="BP57" s="31"/>
    </row>
    <row r="58" spans="18:68">
      <c r="R58" s="32"/>
      <c r="S58" s="40"/>
      <c r="T58" s="32"/>
      <c r="U58" s="40"/>
      <c r="V58" s="40"/>
      <c r="W58" s="40"/>
      <c r="X58" s="31"/>
      <c r="Y58" s="32"/>
      <c r="Z58" s="31"/>
      <c r="AA58" s="40"/>
      <c r="AB58" s="40"/>
      <c r="AC58" s="40"/>
      <c r="AD58" s="40"/>
      <c r="AE58" s="40"/>
      <c r="AF58" s="40"/>
      <c r="AG58" s="40"/>
      <c r="AH58" s="40"/>
      <c r="AI58" s="40"/>
      <c r="BE58" s="32"/>
      <c r="BF58" s="31"/>
      <c r="BG58" s="32"/>
      <c r="BH58" s="40"/>
      <c r="BI58" s="40"/>
      <c r="BJ58" s="31"/>
      <c r="BK58" s="32"/>
      <c r="BL58" s="40"/>
      <c r="BM58" s="40"/>
      <c r="BN58" s="31"/>
      <c r="BO58" s="32"/>
      <c r="BP58" s="31"/>
    </row>
    <row r="59" spans="18:68">
      <c r="R59" s="32"/>
      <c r="S59" s="40"/>
      <c r="T59" s="32"/>
      <c r="U59" s="40"/>
      <c r="V59" s="40"/>
      <c r="W59" s="40"/>
      <c r="X59" s="31"/>
      <c r="Y59" s="32"/>
      <c r="Z59" s="31"/>
      <c r="AA59" s="40"/>
      <c r="AB59" s="40"/>
      <c r="AC59" s="40"/>
      <c r="AD59" s="40"/>
      <c r="AE59" s="40"/>
      <c r="AF59" s="40"/>
      <c r="AG59" s="40"/>
      <c r="AH59" s="40"/>
      <c r="AI59" s="40"/>
      <c r="BE59" s="32"/>
      <c r="BF59" s="31"/>
      <c r="BG59" s="32"/>
      <c r="BH59" s="40"/>
      <c r="BI59" s="40"/>
      <c r="BJ59" s="31"/>
      <c r="BK59" s="32"/>
      <c r="BL59" s="40"/>
      <c r="BM59" s="40"/>
      <c r="BN59" s="31"/>
      <c r="BO59" s="32"/>
      <c r="BP59" s="31"/>
    </row>
    <row r="60" spans="18:68" ht="15.75" thickBot="1">
      <c r="R60" s="30"/>
      <c r="S60" s="29"/>
      <c r="T60" s="30"/>
      <c r="U60" s="29"/>
      <c r="V60" s="29"/>
      <c r="W60" s="29"/>
      <c r="X60" s="28"/>
      <c r="Y60" s="30"/>
      <c r="Z60" s="28"/>
      <c r="AA60" s="40"/>
      <c r="AB60" s="40"/>
      <c r="AC60" s="40"/>
      <c r="AD60" s="40"/>
      <c r="AE60" s="40"/>
      <c r="AF60" s="40"/>
      <c r="AG60" s="40"/>
      <c r="AH60" s="40"/>
      <c r="AI60" s="40"/>
      <c r="BE60" s="30"/>
      <c r="BF60" s="28"/>
      <c r="BG60" s="30"/>
      <c r="BH60" s="29"/>
      <c r="BI60" s="29"/>
      <c r="BJ60" s="28"/>
      <c r="BK60" s="30"/>
      <c r="BL60" s="29"/>
      <c r="BM60" s="29"/>
      <c r="BN60" s="28"/>
      <c r="BO60" s="30"/>
      <c r="BP60" s="28"/>
    </row>
    <row r="62" spans="18:68" ht="15.75" thickBot="1">
      <c r="T62" t="s">
        <v>370</v>
      </c>
    </row>
    <row r="63" spans="18:68">
      <c r="T63" s="35"/>
      <c r="U63" s="34"/>
      <c r="V63" s="911" t="s">
        <v>374</v>
      </c>
      <c r="W63" s="912"/>
      <c r="X63" s="34"/>
      <c r="Y63" s="33"/>
      <c r="Z63" s="40"/>
      <c r="AA63" s="40"/>
      <c r="AB63" s="40"/>
      <c r="AC63" s="40"/>
      <c r="AD63" s="40"/>
      <c r="AE63" s="40"/>
      <c r="AF63" s="40"/>
      <c r="AG63" s="40"/>
      <c r="AH63" s="40"/>
    </row>
    <row r="64" spans="18:68">
      <c r="T64" s="32"/>
      <c r="U64" s="40"/>
      <c r="V64" s="913"/>
      <c r="W64" s="914"/>
      <c r="X64" s="40"/>
      <c r="Y64" s="31"/>
      <c r="Z64" s="40"/>
      <c r="AA64" s="40"/>
      <c r="AB64" s="40"/>
      <c r="AC64" s="40"/>
      <c r="AD64" s="40"/>
      <c r="AE64" s="40"/>
      <c r="AF64" s="40"/>
      <c r="AG64" s="40"/>
      <c r="AH64" s="40"/>
    </row>
    <row r="65" spans="20:34">
      <c r="T65" s="32"/>
      <c r="U65" s="40"/>
      <c r="V65" s="913"/>
      <c r="W65" s="914"/>
      <c r="X65" s="40"/>
      <c r="Y65" s="31"/>
      <c r="Z65" s="40"/>
      <c r="AA65" s="40"/>
      <c r="AB65" s="40"/>
      <c r="AC65" s="40"/>
      <c r="AD65" s="40"/>
      <c r="AE65" s="40"/>
      <c r="AF65" s="40"/>
      <c r="AG65" s="40"/>
      <c r="AH65" s="40"/>
    </row>
    <row r="66" spans="20:34">
      <c r="T66" s="32"/>
      <c r="U66" s="40"/>
      <c r="V66" s="913"/>
      <c r="W66" s="914"/>
      <c r="X66" s="40"/>
      <c r="Y66" s="31"/>
      <c r="Z66" s="40"/>
      <c r="AA66" s="40"/>
      <c r="AB66" s="40"/>
      <c r="AC66" s="40"/>
      <c r="AD66" s="40"/>
      <c r="AE66" s="40"/>
      <c r="AF66" s="40"/>
      <c r="AG66" s="40"/>
      <c r="AH66" s="40"/>
    </row>
    <row r="67" spans="20:34">
      <c r="T67" s="32"/>
      <c r="U67" s="40"/>
      <c r="V67" s="913"/>
      <c r="W67" s="914"/>
      <c r="X67" s="40"/>
      <c r="Y67" s="31"/>
      <c r="Z67" s="40"/>
      <c r="AA67" s="40"/>
      <c r="AB67" s="40"/>
      <c r="AC67" s="40"/>
      <c r="AD67" s="40"/>
      <c r="AE67" s="40"/>
      <c r="AF67" s="40"/>
      <c r="AG67" s="40"/>
      <c r="AH67" s="40"/>
    </row>
    <row r="68" spans="20:34">
      <c r="T68" s="32"/>
      <c r="U68" s="40"/>
      <c r="V68" s="913"/>
      <c r="W68" s="914"/>
      <c r="X68" s="40"/>
      <c r="Y68" s="31"/>
      <c r="Z68" s="40"/>
      <c r="AA68" s="40"/>
      <c r="AB68" s="40"/>
      <c r="AC68" s="40"/>
      <c r="AD68" s="40"/>
      <c r="AE68" s="40"/>
      <c r="AF68" s="40"/>
      <c r="AG68" s="40"/>
      <c r="AH68" s="40"/>
    </row>
    <row r="69" spans="20:34">
      <c r="T69" s="32"/>
      <c r="U69" s="40"/>
      <c r="V69" s="913"/>
      <c r="W69" s="914"/>
      <c r="X69" s="40"/>
      <c r="Y69" s="31"/>
      <c r="Z69" s="40"/>
      <c r="AA69" s="40"/>
      <c r="AB69" s="40"/>
      <c r="AC69" s="40"/>
      <c r="AD69" s="40"/>
      <c r="AE69" s="40"/>
      <c r="AF69" s="40"/>
      <c r="AG69" s="40"/>
      <c r="AH69" s="40"/>
    </row>
    <row r="70" spans="20:34" ht="15.75" thickBot="1">
      <c r="T70" s="30"/>
      <c r="U70" s="29"/>
      <c r="V70" s="915"/>
      <c r="W70" s="916"/>
      <c r="X70" s="29"/>
      <c r="Y70" s="28"/>
      <c r="Z70" s="40"/>
      <c r="AA70" s="40"/>
      <c r="AB70" s="40"/>
      <c r="AC70" s="40"/>
      <c r="AD70" s="40"/>
      <c r="AE70" s="40"/>
      <c r="AF70" s="40"/>
      <c r="AG70" s="40"/>
      <c r="AH70" s="40"/>
    </row>
    <row r="72" spans="20:34" ht="15.75" thickBot="1">
      <c r="T72" s="39" t="s">
        <v>371</v>
      </c>
    </row>
    <row r="73" spans="20:34">
      <c r="T73" s="923" t="s">
        <v>374</v>
      </c>
      <c r="U73" s="912"/>
      <c r="V73" s="917"/>
      <c r="W73" s="918"/>
      <c r="X73" s="911" t="s">
        <v>374</v>
      </c>
      <c r="Y73" s="926"/>
      <c r="Z73" s="225"/>
      <c r="AA73" s="225"/>
      <c r="AB73" s="225"/>
      <c r="AC73" s="225"/>
      <c r="AD73" s="225"/>
      <c r="AE73" s="225"/>
      <c r="AF73" s="225"/>
      <c r="AG73" s="225"/>
      <c r="AH73" s="225"/>
    </row>
    <row r="74" spans="20:34">
      <c r="T74" s="924"/>
      <c r="U74" s="914"/>
      <c r="V74" s="919"/>
      <c r="W74" s="920"/>
      <c r="X74" s="913"/>
      <c r="Y74" s="927"/>
      <c r="Z74" s="225"/>
      <c r="AA74" s="225"/>
      <c r="AB74" s="225"/>
      <c r="AC74" s="225"/>
      <c r="AD74" s="225"/>
      <c r="AE74" s="225"/>
      <c r="AF74" s="225"/>
      <c r="AG74" s="225"/>
      <c r="AH74" s="225"/>
    </row>
    <row r="75" spans="20:34">
      <c r="T75" s="924"/>
      <c r="U75" s="914"/>
      <c r="V75" s="919"/>
      <c r="W75" s="920"/>
      <c r="X75" s="913"/>
      <c r="Y75" s="927"/>
      <c r="Z75" s="225"/>
      <c r="AA75" s="225"/>
      <c r="AB75" s="225"/>
      <c r="AC75" s="225"/>
      <c r="AD75" s="225"/>
      <c r="AE75" s="225"/>
      <c r="AF75" s="225"/>
      <c r="AG75" s="225"/>
      <c r="AH75" s="225"/>
    </row>
    <row r="76" spans="20:34">
      <c r="T76" s="924"/>
      <c r="U76" s="914"/>
      <c r="V76" s="919"/>
      <c r="W76" s="920"/>
      <c r="X76" s="913"/>
      <c r="Y76" s="927"/>
      <c r="Z76" s="225"/>
      <c r="AA76" s="225"/>
      <c r="AB76" s="225"/>
      <c r="AC76" s="225"/>
      <c r="AD76" s="225"/>
      <c r="AE76" s="225"/>
      <c r="AF76" s="225"/>
      <c r="AG76" s="225"/>
      <c r="AH76" s="225"/>
    </row>
    <row r="77" spans="20:34">
      <c r="T77" s="924"/>
      <c r="U77" s="914"/>
      <c r="V77" s="919"/>
      <c r="W77" s="920"/>
      <c r="X77" s="913"/>
      <c r="Y77" s="927"/>
      <c r="Z77" s="225"/>
      <c r="AA77" s="225"/>
      <c r="AB77" s="225"/>
      <c r="AC77" s="225"/>
      <c r="AD77" s="225"/>
      <c r="AE77" s="225"/>
      <c r="AF77" s="225"/>
      <c r="AG77" s="225"/>
      <c r="AH77" s="225"/>
    </row>
    <row r="78" spans="20:34">
      <c r="T78" s="924"/>
      <c r="U78" s="914"/>
      <c r="V78" s="919"/>
      <c r="W78" s="920"/>
      <c r="X78" s="913"/>
      <c r="Y78" s="927"/>
      <c r="Z78" s="225"/>
      <c r="AA78" s="225"/>
      <c r="AB78" s="225"/>
      <c r="AC78" s="225"/>
      <c r="AD78" s="225"/>
      <c r="AE78" s="225"/>
      <c r="AF78" s="225"/>
      <c r="AG78" s="225"/>
      <c r="AH78" s="225"/>
    </row>
    <row r="79" spans="20:34">
      <c r="T79" s="924"/>
      <c r="U79" s="914"/>
      <c r="V79" s="919"/>
      <c r="W79" s="920"/>
      <c r="X79" s="913"/>
      <c r="Y79" s="927"/>
      <c r="Z79" s="225"/>
      <c r="AA79" s="225"/>
      <c r="AB79" s="225"/>
      <c r="AC79" s="225"/>
      <c r="AD79" s="225"/>
      <c r="AE79" s="225"/>
      <c r="AF79" s="225"/>
      <c r="AG79" s="225"/>
      <c r="AH79" s="225"/>
    </row>
    <row r="80" spans="20:34" ht="15.75" thickBot="1">
      <c r="T80" s="925"/>
      <c r="U80" s="916"/>
      <c r="V80" s="921"/>
      <c r="W80" s="922"/>
      <c r="X80" s="915"/>
      <c r="Y80" s="928"/>
      <c r="Z80" s="225"/>
      <c r="AA80" s="225"/>
      <c r="AB80" s="225"/>
      <c r="AC80" s="225"/>
      <c r="AD80" s="225"/>
      <c r="AE80" s="225"/>
      <c r="AF80" s="225"/>
      <c r="AG80" s="225"/>
      <c r="AH80" s="225"/>
    </row>
  </sheetData>
  <mergeCells count="4">
    <mergeCell ref="V63:W70"/>
    <mergeCell ref="V73:W80"/>
    <mergeCell ref="T73:U80"/>
    <mergeCell ref="X73:Y80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A1883"/>
  <sheetViews>
    <sheetView zoomScale="80" zoomScaleNormal="80" workbookViewId="0">
      <selection activeCell="I39" sqref="I39"/>
    </sheetView>
  </sheetViews>
  <sheetFormatPr defaultRowHeight="15"/>
  <cols>
    <col min="1" max="1" width="13" bestFit="1" customWidth="1"/>
    <col min="2" max="2" width="11.85546875" style="39" customWidth="1"/>
    <col min="3" max="3" width="19.85546875" bestFit="1" customWidth="1"/>
    <col min="4" max="4" width="10.42578125" style="39" customWidth="1"/>
    <col min="5" max="5" width="16" bestFit="1" customWidth="1"/>
    <col min="6" max="6" width="13.42578125" customWidth="1"/>
    <col min="7" max="7" width="13.42578125" style="39" customWidth="1"/>
    <col min="8" max="8" width="22.5703125" customWidth="1"/>
    <col min="9" max="9" width="12.28515625" customWidth="1"/>
    <col min="10" max="10" width="7.85546875" customWidth="1"/>
    <col min="11" max="11" width="6.5703125" customWidth="1"/>
    <col min="12" max="14" width="7" style="39" customWidth="1"/>
    <col min="15" max="15" width="10" style="39" customWidth="1"/>
    <col min="16" max="16" width="12.140625" style="39" customWidth="1"/>
    <col min="17" max="17" width="10" style="39" customWidth="1"/>
    <col min="18" max="18" width="3.7109375" style="39" customWidth="1"/>
    <col min="19" max="19" width="16" bestFit="1" customWidth="1"/>
    <col min="20" max="37" width="11.7109375" customWidth="1"/>
  </cols>
  <sheetData>
    <row r="1" spans="1:27" ht="15.75" thickBot="1">
      <c r="F1" s="39"/>
      <c r="H1" s="39" t="str">
        <f>Бланк!M2</f>
        <v>О_0</v>
      </c>
      <c r="I1" s="39" t="str">
        <f>Бланк!M18</f>
        <v>М_1</v>
      </c>
      <c r="J1" s="39" t="str">
        <f>Бланк!M34</f>
        <v>М_3</v>
      </c>
      <c r="K1" s="39"/>
      <c r="L1" s="569"/>
      <c r="M1" s="569"/>
      <c r="N1" s="806" t="s">
        <v>1629</v>
      </c>
      <c r="O1" s="807">
        <f>3.7/3.3</f>
        <v>1.1212121212121213</v>
      </c>
      <c r="P1" s="153"/>
      <c r="Q1" s="153"/>
      <c r="R1" s="153"/>
      <c r="S1" s="153"/>
      <c r="T1" s="356" t="s">
        <v>966</v>
      </c>
      <c r="U1" s="153"/>
      <c r="V1" s="153"/>
      <c r="W1" s="153"/>
      <c r="X1" s="153"/>
    </row>
    <row r="2" spans="1:27">
      <c r="A2" s="76" t="s">
        <v>315</v>
      </c>
      <c r="B2" s="76" t="s">
        <v>94</v>
      </c>
      <c r="C2" s="76" t="s">
        <v>346</v>
      </c>
      <c r="D2" s="76" t="s">
        <v>45</v>
      </c>
      <c r="F2" s="39"/>
      <c r="H2">
        <f>MATCH(H1,Таблица2022[#Headers],0)</f>
        <v>2</v>
      </c>
      <c r="I2" s="39">
        <f>MATCH(I1,Таблица2022[#Headers],0)</f>
        <v>6</v>
      </c>
      <c r="J2" s="39">
        <f>MATCH(J1,Таблица2022[#Headers],0)</f>
        <v>8</v>
      </c>
      <c r="P2" s="356"/>
      <c r="Q2" s="356"/>
      <c r="R2" s="356"/>
      <c r="S2" s="356"/>
      <c r="T2" s="356"/>
      <c r="U2" s="356"/>
      <c r="V2" s="356"/>
      <c r="W2" s="356"/>
      <c r="X2" s="356"/>
    </row>
    <row r="3" spans="1:27">
      <c r="A3" s="42" t="s">
        <v>11</v>
      </c>
      <c r="B3" s="42" t="s">
        <v>11</v>
      </c>
      <c r="C3" s="77" t="s">
        <v>376</v>
      </c>
      <c r="D3" s="42" t="s">
        <v>1232</v>
      </c>
      <c r="F3" s="39"/>
      <c r="H3" s="39" t="str">
        <f>CONCATENATE(Бланк!U9,Бланк!X9)</f>
        <v>шагрень</v>
      </c>
      <c r="I3" s="39" t="str">
        <f>CONCATENATE(Бланк!U25,Бланк!X25)</f>
        <v>шёлк</v>
      </c>
      <c r="J3" s="39" t="str">
        <f>CONCATENATE(Бланк!U41,Бланк!X41)</f>
        <v>шёлк</v>
      </c>
      <c r="K3" s="339"/>
      <c r="P3" s="153"/>
      <c r="Q3" s="153"/>
      <c r="R3" s="153"/>
      <c r="T3">
        <f>MATCH(Бланк!$R$2,Таблица17[[#All],[Столбец1]],1)</f>
        <v>3</v>
      </c>
      <c r="U3" t="s">
        <v>967</v>
      </c>
      <c r="W3" s="39">
        <f>MATCH(Бланк!$R$18,Таблица17[[#All],[Столбец1]],1)</f>
        <v>3</v>
      </c>
      <c r="X3" s="39" t="s">
        <v>967</v>
      </c>
      <c r="Z3" s="39">
        <f>MATCH(Бланк!$R$34,Таблица17[[#All],[Столбец1]],1)</f>
        <v>3</v>
      </c>
      <c r="AA3" s="39" t="s">
        <v>967</v>
      </c>
    </row>
    <row r="4" spans="1:27" ht="15.75" thickBot="1">
      <c r="A4" s="42" t="s">
        <v>101</v>
      </c>
      <c r="B4" s="42" t="s">
        <v>377</v>
      </c>
      <c r="C4" s="77" t="s">
        <v>378</v>
      </c>
      <c r="D4" s="42" t="s">
        <v>1233</v>
      </c>
      <c r="G4" s="929" t="s">
        <v>1090</v>
      </c>
      <c r="H4" s="39">
        <f>VLOOKUP(H3,Таблица2022[#All],H2,0)*H55*O1</f>
        <v>0</v>
      </c>
      <c r="I4" s="39">
        <f>VLOOKUP(I3,Таблица2022[#All],I2,0)*I55*O1</f>
        <v>0</v>
      </c>
      <c r="J4" s="39">
        <f>VLOOKUP(J3,Таблица2022[#All],J2,0)*J55*O1</f>
        <v>0</v>
      </c>
      <c r="K4" s="39"/>
      <c r="P4" s="153"/>
      <c r="Q4" s="153"/>
      <c r="R4" s="153"/>
      <c r="T4">
        <f>HLOOKUP(Бланк!$M$2,Таблица17[#All],T3,0)</f>
        <v>1080</v>
      </c>
      <c r="U4" t="str">
        <f>CONCATENATE("&lt;=",T4," Рис.!!!")</f>
        <v>&lt;=1080 Рис.!!!</v>
      </c>
      <c r="W4" s="39">
        <f>HLOOKUP(Бланк!$M$18,Таблица17[#All],W3,0)</f>
        <v>1080</v>
      </c>
      <c r="X4" s="39" t="str">
        <f>CONCATENATE("&lt;=",W4, " Рис.!!!")</f>
        <v>&lt;=1080 Рис.!!!</v>
      </c>
      <c r="Z4" s="39">
        <f>HLOOKUP(Бланк!$M$34,Таблица17[#All],Z3,0)</f>
        <v>1060</v>
      </c>
      <c r="AA4" s="39" t="str">
        <f>CONCATENATE("&lt;=",Z4," Рис.!!!")</f>
        <v>&lt;=1060 Рис.!!!</v>
      </c>
    </row>
    <row r="5" spans="1:27" ht="15.75" thickBot="1">
      <c r="A5" s="42" t="s">
        <v>6</v>
      </c>
      <c r="B5" s="42" t="s">
        <v>101</v>
      </c>
      <c r="C5" s="78" t="s">
        <v>375</v>
      </c>
      <c r="D5" s="53" t="s">
        <v>356</v>
      </c>
      <c r="F5" s="39"/>
      <c r="G5" s="929"/>
      <c r="H5" s="579" t="s">
        <v>82</v>
      </c>
      <c r="I5" s="39" t="s">
        <v>412</v>
      </c>
      <c r="J5" s="39" t="s">
        <v>413</v>
      </c>
      <c r="K5" s="39" t="s">
        <v>414</v>
      </c>
      <c r="L5" s="39" t="s">
        <v>415</v>
      </c>
      <c r="M5" s="39" t="s">
        <v>416</v>
      </c>
      <c r="N5" s="39" t="s">
        <v>417</v>
      </c>
      <c r="O5" s="39" t="s">
        <v>418</v>
      </c>
      <c r="P5" s="153" t="s">
        <v>441</v>
      </c>
      <c r="Q5" s="153"/>
      <c r="R5" s="153"/>
      <c r="T5" t="str">
        <f>IF(OR(Номер_открывания_1=1,Номер_открывания_1=2,Номер_открывания_1=9,Номер_открывания_1=10),"нет","")</f>
        <v>нет</v>
      </c>
      <c r="W5" s="39" t="str">
        <f>IF(OR(Номер_открывания_2=1,Номер_открывания_2=2,Номер_открывания_2=9,Номер_открывания_2=10),"нет","")</f>
        <v>нет</v>
      </c>
      <c r="Z5" s="39" t="str">
        <f>IF(OR(Номер_открывания_3=1,Номер_открывания_3=2,Номер_открывания_3=9,Номер_открывания_3=10),"нет","")</f>
        <v>нет</v>
      </c>
    </row>
    <row r="6" spans="1:27">
      <c r="A6" s="153" t="s">
        <v>677</v>
      </c>
      <c r="B6" s="42" t="s">
        <v>6</v>
      </c>
      <c r="D6"/>
      <c r="F6" s="55" t="s">
        <v>5</v>
      </c>
      <c r="H6" s="42" t="str">
        <f>CONCATENATE($E$14,E15)</f>
        <v>МуарЧёрный 9005 DM</v>
      </c>
      <c r="I6" s="39"/>
      <c r="J6" s="39"/>
      <c r="K6" s="39"/>
      <c r="P6" s="153"/>
      <c r="Q6" s="153"/>
      <c r="R6" s="153"/>
      <c r="S6" t="str">
        <f>Бланк!X4</f>
        <v/>
      </c>
      <c r="T6" t="str">
        <f>IF(AND(T5="нет",Бланк!$V$3&gt;T4),U4,IF(Бланк!X4="","",IF(Бланк!X4&gt;0,"S доп.=","")))</f>
        <v/>
      </c>
      <c r="W6" s="39" t="str">
        <f>IF(AND(W5="нет",Бланк!$V$19&gt;W4),X4,IF(Бланк!X20="","",IF(Бланк!X20&gt;0,"S доп.=","")))</f>
        <v/>
      </c>
      <c r="Z6" s="39" t="str">
        <f>IF(AND(Z5="нет",Бланк!$V$35&gt;Z4),AA4,IF(Бланк!X36="","",IF(Бланк!X36&gt;0,"S доп.=","")))</f>
        <v/>
      </c>
    </row>
    <row r="7" spans="1:27" s="39" customFormat="1">
      <c r="A7" s="45" t="s">
        <v>298</v>
      </c>
      <c r="B7" s="134" t="s">
        <v>677</v>
      </c>
      <c r="F7" s="42" t="s">
        <v>513</v>
      </c>
      <c r="H7" s="42" t="str">
        <f>CONCATENATE($E$14,E16)</f>
        <v>МуарИскра 9005-JE</v>
      </c>
      <c r="I7" s="44">
        <v>7.5</v>
      </c>
      <c r="J7" s="39">
        <f>Таблица2022[[#This Row],[О_0]]</f>
        <v>7.5</v>
      </c>
      <c r="K7" s="39">
        <v>0</v>
      </c>
      <c r="L7" s="39">
        <f>Таблица2022[[#This Row],[О_0]]</f>
        <v>7.5</v>
      </c>
      <c r="M7" s="39">
        <f>Таблица2022[[#This Row],[М_0]]</f>
        <v>7.5</v>
      </c>
      <c r="N7" s="39">
        <f>Таблица2022[[#This Row],[М_1]]</f>
        <v>7.5</v>
      </c>
      <c r="O7" s="39">
        <v>0</v>
      </c>
      <c r="P7" s="153"/>
      <c r="Q7" s="153"/>
      <c r="R7" s="153"/>
      <c r="S7" s="44" t="s">
        <v>1025</v>
      </c>
    </row>
    <row r="8" spans="1:27" ht="15.75" thickBot="1">
      <c r="A8" s="79" t="s">
        <v>299</v>
      </c>
      <c r="B8" s="45" t="s">
        <v>344</v>
      </c>
      <c r="D8"/>
      <c r="F8" s="42" t="s">
        <v>48</v>
      </c>
      <c r="H8" s="42" t="str">
        <f>CONCATENATE($E$14,E17)</f>
        <v>Муарбелый</v>
      </c>
      <c r="I8" s="39" t="s">
        <v>1075</v>
      </c>
      <c r="J8" s="39" t="s">
        <v>1075</v>
      </c>
      <c r="K8" s="39">
        <v>5</v>
      </c>
      <c r="L8" s="39" t="s">
        <v>1075</v>
      </c>
      <c r="M8" s="39" t="s">
        <v>1075</v>
      </c>
      <c r="N8" s="39" t="s">
        <v>1075</v>
      </c>
      <c r="O8" s="39">
        <f>Таблица2022[[#This Row],[О_2]]</f>
        <v>5</v>
      </c>
      <c r="P8" s="153"/>
      <c r="Q8" s="153"/>
      <c r="R8" s="153"/>
      <c r="S8" s="153" t="s">
        <v>82</v>
      </c>
      <c r="T8" s="333" t="s">
        <v>412</v>
      </c>
      <c r="U8" s="333" t="s">
        <v>413</v>
      </c>
      <c r="V8" s="333" t="s">
        <v>414</v>
      </c>
      <c r="W8" s="333" t="s">
        <v>415</v>
      </c>
      <c r="X8" s="333" t="s">
        <v>416</v>
      </c>
      <c r="Y8" s="333" t="s">
        <v>417</v>
      </c>
      <c r="Z8" s="342" t="s">
        <v>418</v>
      </c>
      <c r="AA8" s="512" t="s">
        <v>441</v>
      </c>
    </row>
    <row r="9" spans="1:27">
      <c r="B9" s="45" t="s">
        <v>345</v>
      </c>
      <c r="D9"/>
      <c r="F9" s="42" t="s">
        <v>347</v>
      </c>
      <c r="H9" s="42" t="str">
        <f>CONCATENATE($E$14,E20)</f>
        <v>Муар7016-ЕСО</v>
      </c>
      <c r="I9" s="39" t="s">
        <v>1075</v>
      </c>
      <c r="J9" s="39" t="s">
        <v>1075</v>
      </c>
      <c r="K9" s="44">
        <v>3</v>
      </c>
      <c r="L9" s="44">
        <v>5</v>
      </c>
      <c r="M9" s="39">
        <f>Таблица2022[[#This Row],[М_0]]</f>
        <v>5</v>
      </c>
      <c r="N9" s="39">
        <f>Таблица2022[[#This Row],[М_1]]</f>
        <v>5</v>
      </c>
      <c r="O9" s="39">
        <f>Таблица2022[[#This Row],[О_2]]</f>
        <v>3</v>
      </c>
      <c r="P9" s="153"/>
      <c r="Q9" s="153"/>
      <c r="R9" s="153"/>
      <c r="S9" s="153"/>
      <c r="T9" s="153"/>
      <c r="U9" s="153"/>
      <c r="V9" s="153"/>
      <c r="W9" s="153"/>
      <c r="X9" s="153"/>
      <c r="AA9" s="61"/>
    </row>
    <row r="10" spans="1:27" ht="15.75" thickBot="1">
      <c r="B10" s="53" t="s">
        <v>331</v>
      </c>
      <c r="D10"/>
      <c r="F10" s="42" t="s">
        <v>300</v>
      </c>
      <c r="H10" s="42" t="str">
        <f>CONCATENATE($E$14,E22)</f>
        <v>Муар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f t="shared" ref="O10" si="0">O7</f>
        <v>0</v>
      </c>
      <c r="P10" s="153"/>
      <c r="Q10" s="153"/>
      <c r="R10" s="153"/>
      <c r="S10" t="s">
        <v>96</v>
      </c>
      <c r="T10" s="153">
        <v>1080</v>
      </c>
      <c r="U10" s="153">
        <v>960</v>
      </c>
      <c r="V10" s="153">
        <v>960</v>
      </c>
      <c r="W10" s="153">
        <v>1080</v>
      </c>
      <c r="X10" s="153">
        <v>1080</v>
      </c>
      <c r="Y10" s="153">
        <v>1080</v>
      </c>
      <c r="Z10" s="153">
        <v>1060</v>
      </c>
      <c r="AA10" s="61"/>
    </row>
    <row r="11" spans="1:27" s="39" customFormat="1" ht="15.75" thickBot="1">
      <c r="E11"/>
      <c r="F11" s="53" t="s">
        <v>301</v>
      </c>
      <c r="H11" s="42" t="str">
        <f t="shared" ref="H11:H15" si="1">CONCATENATE($B$14,B15)</f>
        <v>Шагреньчёрная 9005</v>
      </c>
      <c r="I11" s="40"/>
      <c r="J11" s="40"/>
      <c r="K11"/>
      <c r="L11"/>
      <c r="P11" s="153"/>
      <c r="Q11" s="153"/>
      <c r="R11" s="153"/>
      <c r="S11" s="153" t="s">
        <v>320</v>
      </c>
      <c r="T11" s="153" t="e">
        <f>1/0</f>
        <v>#DIV/0!</v>
      </c>
      <c r="U11" s="153" t="e">
        <f>1/0</f>
        <v>#DIV/0!</v>
      </c>
      <c r="V11" s="153">
        <v>950</v>
      </c>
      <c r="W11" s="153">
        <v>1000</v>
      </c>
      <c r="X11" s="153">
        <v>1000</v>
      </c>
      <c r="Y11" s="153">
        <v>1000</v>
      </c>
      <c r="Z11" s="153">
        <v>1000</v>
      </c>
      <c r="AA11" s="61"/>
    </row>
    <row r="12" spans="1:27" s="39" customFormat="1" ht="15.75" thickBot="1">
      <c r="H12" s="42" t="str">
        <f t="shared" si="1"/>
        <v>Шагреньбелая</v>
      </c>
      <c r="I12" s="44">
        <v>5</v>
      </c>
      <c r="J12" s="39">
        <f>Таблица2022[[#This Row],[О_0]]</f>
        <v>5</v>
      </c>
      <c r="K12" s="39">
        <f>Таблица2022[[#This Row],[О_1]]</f>
        <v>5</v>
      </c>
      <c r="L12" s="39">
        <f>Таблица2022[[#This Row],[О_2]]</f>
        <v>5</v>
      </c>
      <c r="M12" s="39">
        <f>Таблица2022[[#This Row],[М_0]]</f>
        <v>5</v>
      </c>
      <c r="N12" s="39">
        <f>Таблица2022[[#This Row],[М_1]]</f>
        <v>5</v>
      </c>
      <c r="O12" s="39">
        <f>Таблица2022[[#This Row],[М_2]]</f>
        <v>5</v>
      </c>
      <c r="R12" s="153"/>
      <c r="S12" s="39">
        <v>0</v>
      </c>
      <c r="T12" s="61"/>
      <c r="U12" s="61"/>
      <c r="V12" s="61"/>
      <c r="W12" s="61"/>
      <c r="X12" s="61"/>
      <c r="AA12" s="61"/>
    </row>
    <row r="13" spans="1:27" ht="15.75" thickBot="1">
      <c r="F13" s="55"/>
      <c r="H13" s="42" t="str">
        <f t="shared" si="1"/>
        <v>Шагренькорич.8017</v>
      </c>
      <c r="I13" s="39"/>
      <c r="J13" s="39"/>
      <c r="K13" s="39"/>
      <c r="R13" s="153"/>
      <c r="S13" s="153"/>
      <c r="T13" s="153"/>
      <c r="U13" s="357"/>
      <c r="V13" s="153"/>
      <c r="W13" s="153"/>
      <c r="X13" s="153"/>
    </row>
    <row r="14" spans="1:27" s="39" customFormat="1" ht="15.75" thickBot="1">
      <c r="A14" t="s">
        <v>92</v>
      </c>
      <c r="B14" s="609" t="s">
        <v>92</v>
      </c>
      <c r="C14" s="55" t="s">
        <v>291</v>
      </c>
      <c r="D14" s="607" t="s">
        <v>292</v>
      </c>
      <c r="E14" s="55" t="s">
        <v>295</v>
      </c>
      <c r="F14" s="28"/>
      <c r="H14" s="42" t="str">
        <f t="shared" si="1"/>
        <v>Шагренькорич.8019</v>
      </c>
      <c r="R14" s="153"/>
      <c r="S14" s="153"/>
      <c r="T14" s="153"/>
      <c r="U14" s="357"/>
      <c r="V14" s="187"/>
      <c r="W14" s="153"/>
      <c r="X14" s="187"/>
      <c r="Y14"/>
      <c r="Z14"/>
    </row>
    <row r="15" spans="1:27" s="39" customFormat="1">
      <c r="A15" s="39" t="s">
        <v>295</v>
      </c>
      <c r="B15" s="396" t="s">
        <v>1231</v>
      </c>
      <c r="C15" s="42" t="s">
        <v>93</v>
      </c>
      <c r="D15" s="32" t="s">
        <v>293</v>
      </c>
      <c r="E15" s="42" t="s">
        <v>1239</v>
      </c>
      <c r="H15" s="681" t="str">
        <f t="shared" si="1"/>
        <v>Шагреньграфит 7024</v>
      </c>
      <c r="R15" s="153"/>
      <c r="S15" s="153"/>
      <c r="T15" s="153"/>
      <c r="U15" s="357"/>
      <c r="V15" s="187"/>
      <c r="W15" s="153"/>
      <c r="X15" s="187"/>
      <c r="Y15"/>
      <c r="Z15"/>
    </row>
    <row r="16" spans="1:27" s="39" customFormat="1" ht="15.75" thickBot="1">
      <c r="A16" t="s">
        <v>291</v>
      </c>
      <c r="B16" s="410" t="s">
        <v>429</v>
      </c>
      <c r="C16" s="53"/>
      <c r="D16" s="32"/>
      <c r="E16" s="134" t="s">
        <v>1238</v>
      </c>
      <c r="H16" s="681" t="str">
        <f>CONCATENATE($B$14,B20)</f>
        <v>ШагреньАнтрацит 7016</v>
      </c>
      <c r="R16" s="153"/>
      <c r="S16" s="153"/>
      <c r="T16" s="153"/>
      <c r="U16" s="357"/>
      <c r="V16" s="187"/>
      <c r="W16" s="153"/>
      <c r="X16" s="187"/>
    </row>
    <row r="17" spans="1:26" s="39" customFormat="1" ht="15.75" thickBot="1">
      <c r="A17" t="s">
        <v>292</v>
      </c>
      <c r="B17" s="396" t="s">
        <v>1234</v>
      </c>
      <c r="C17"/>
      <c r="D17" s="30"/>
      <c r="E17" s="134" t="s">
        <v>542</v>
      </c>
      <c r="H17" s="42" t="str">
        <f>CONCATENATE($B$14,B21)</f>
        <v>ШагреньСерая 7040</v>
      </c>
      <c r="I17" s="39">
        <v>30</v>
      </c>
      <c r="J17" s="39">
        <v>30</v>
      </c>
      <c r="K17" s="39">
        <v>30</v>
      </c>
      <c r="L17" s="39">
        <v>30</v>
      </c>
      <c r="M17" s="39">
        <v>30</v>
      </c>
      <c r="N17" s="39">
        <v>30</v>
      </c>
      <c r="O17" s="39">
        <v>30</v>
      </c>
      <c r="R17" s="153"/>
      <c r="S17" s="153"/>
      <c r="T17" s="153"/>
      <c r="U17" s="357"/>
      <c r="V17" s="187"/>
      <c r="W17" s="153"/>
      <c r="X17" s="187"/>
    </row>
    <row r="18" spans="1:26" s="39" customFormat="1">
      <c r="A18"/>
      <c r="B18" s="396" t="s">
        <v>1235</v>
      </c>
      <c r="D18"/>
      <c r="E18" s="42" t="s">
        <v>1619</v>
      </c>
      <c r="H18" s="42" t="str">
        <f>CONCATENATE($B$14,B22)</f>
        <v>Шагреньсв.серая 7035</v>
      </c>
      <c r="I18" s="39">
        <v>30</v>
      </c>
      <c r="J18" s="39">
        <v>30</v>
      </c>
      <c r="K18" s="39">
        <v>30</v>
      </c>
      <c r="L18" s="39">
        <v>30</v>
      </c>
      <c r="M18" s="39">
        <v>30</v>
      </c>
      <c r="N18" s="39">
        <v>30</v>
      </c>
      <c r="O18" s="39">
        <v>30</v>
      </c>
      <c r="R18" s="153"/>
      <c r="S18" s="153"/>
      <c r="T18" s="153"/>
      <c r="U18" s="357"/>
      <c r="V18" s="187"/>
      <c r="W18" s="153"/>
      <c r="X18" s="187"/>
    </row>
    <row r="19" spans="1:26" s="39" customFormat="1">
      <c r="A19"/>
      <c r="B19" s="396" t="s">
        <v>1071</v>
      </c>
      <c r="D19"/>
      <c r="E19" s="134" t="s">
        <v>1620</v>
      </c>
      <c r="F19" s="31"/>
      <c r="H19" s="42" t="str">
        <f>CONCATENATE($B$14,B23)</f>
        <v>Шагреньсиняя</v>
      </c>
      <c r="I19" s="39">
        <v>30</v>
      </c>
      <c r="J19" s="39">
        <v>30</v>
      </c>
      <c r="K19" s="39">
        <v>30</v>
      </c>
      <c r="L19" s="39">
        <v>30</v>
      </c>
      <c r="M19" s="39">
        <v>30</v>
      </c>
      <c r="N19" s="39">
        <v>30</v>
      </c>
      <c r="O19" s="39">
        <v>30</v>
      </c>
      <c r="R19" s="153"/>
      <c r="S19" s="153"/>
      <c r="T19" s="356" t="s">
        <v>969</v>
      </c>
      <c r="U19" s="357"/>
      <c r="V19" s="187"/>
      <c r="W19" s="357"/>
      <c r="X19" s="187"/>
      <c r="Y19"/>
    </row>
    <row r="20" spans="1:26">
      <c r="B20" s="679" t="s">
        <v>1226</v>
      </c>
      <c r="E20" s="42" t="s">
        <v>1452</v>
      </c>
      <c r="H20" s="42" t="str">
        <f>CONCATENATE($B$14,B25)</f>
        <v>Шагреньжёлтая</v>
      </c>
      <c r="I20" s="39">
        <v>30</v>
      </c>
      <c r="J20" s="39">
        <v>30</v>
      </c>
      <c r="K20" s="39">
        <v>30</v>
      </c>
      <c r="L20" s="39">
        <v>30</v>
      </c>
      <c r="M20" s="39">
        <v>30</v>
      </c>
      <c r="N20" s="39">
        <v>30</v>
      </c>
      <c r="O20" s="39">
        <v>30</v>
      </c>
      <c r="R20" s="153"/>
      <c r="S20" s="153"/>
      <c r="T20" s="153"/>
      <c r="U20" s="357"/>
      <c r="V20" s="187"/>
      <c r="W20" s="357"/>
      <c r="X20" s="187"/>
    </row>
    <row r="21" spans="1:26" ht="15.75" thickBot="1">
      <c r="B21" s="679" t="s">
        <v>1229</v>
      </c>
      <c r="E21" s="53" t="s">
        <v>1240</v>
      </c>
      <c r="H21" s="42" t="str">
        <f>CONCATENATE($C$14,C15)</f>
        <v>Шёлкчёрный</v>
      </c>
      <c r="I21" s="39"/>
      <c r="J21" s="39"/>
      <c r="K21" s="39"/>
      <c r="R21" s="153"/>
      <c r="S21" s="39" t="str">
        <f>IF(Бланк!$F$11="МДФ","МДФ","")</f>
        <v/>
      </c>
      <c r="V21" s="39" t="str">
        <f>IF(Бланк!$F$27="МДФ","МДФ","")</f>
        <v/>
      </c>
      <c r="W21" s="39"/>
      <c r="Y21" s="39" t="str">
        <f>IF(Бланк!$F$43="МДФ","МДФ","")</f>
        <v>МДФ</v>
      </c>
      <c r="Z21" s="39"/>
    </row>
    <row r="22" spans="1:26" ht="15.75" thickBot="1">
      <c r="B22" s="679" t="s">
        <v>1230</v>
      </c>
      <c r="D22"/>
      <c r="E22" s="53"/>
      <c r="F22" s="39"/>
      <c r="H22" s="42" t="str">
        <f>CONCATENATE($D$14,D15)</f>
        <v>Антикмедь</v>
      </c>
      <c r="I22" s="44">
        <v>5</v>
      </c>
      <c r="J22" s="39"/>
      <c r="K22" s="39"/>
      <c r="L22" s="39">
        <f>Таблица2022[[#This Row],[О_0]]</f>
        <v>5</v>
      </c>
      <c r="R22" s="153"/>
      <c r="S22" t="str">
        <f>IF(T22="",IF(CONCATENATE( Бланк!$R$2,S21)="",0,CONCATENATE( Бланк!$R$2,S21)),T22)</f>
        <v>2-х конт.</v>
      </c>
      <c r="T22" t="str">
        <f>IF(AND(OR(Бланк!F9="металл",Бланк!F9="_металл",Бланк!E10="Окраска",Бланк!D10="Окраска_"),OR(Бланк!E12="окраска",Бланк!D12="Окраска_")),"краска","")</f>
        <v/>
      </c>
      <c r="V22" s="39" t="str">
        <f>IF(W22="",IF(CONCATENATE( Бланк!$R$18,V21)="",0,CONCATENATE( Бланк!$R$18,V21)),W22)</f>
        <v>2-х конт.</v>
      </c>
      <c r="W22" s="39" t="str">
        <f>IF(AND(OR(Бланк!F25="металл",Бланк!F25="_металл",Бланк!E26="Окраска",Бланк!D26="Окраска_"),OR(Бланк!E28="окраска",Бланк!D28="Окраска_")),"краска","")</f>
        <v/>
      </c>
      <c r="Y22" s="39" t="str">
        <f>IF(Z22="",IF(CONCATENATE( Бланк!$R$34,Y21)="",0,CONCATENATE( Бланк!$R$34,Y21)),Z22)</f>
        <v>2-х конт.МДФ</v>
      </c>
      <c r="Z22" s="39" t="str">
        <f>IF(AND(OR(Бланк!F41="металл",Бланк!F41="_металл",Бланк!E42="Окраска",Бланк!D42="Окраска_"),OR(Бланк!E44="окраска",Бланк!D44="Окраска_")),"краска","")</f>
        <v/>
      </c>
    </row>
    <row r="23" spans="1:26">
      <c r="A23" s="39"/>
      <c r="B23" s="396" t="s">
        <v>289</v>
      </c>
      <c r="C23" s="39"/>
      <c r="F23" s="39"/>
      <c r="H23" s="42" t="str">
        <f>CONCATENATE($D$14,D16)</f>
        <v>Антик</v>
      </c>
      <c r="I23" s="39">
        <f>I22</f>
        <v>5</v>
      </c>
      <c r="J23" s="39">
        <f t="shared" ref="J23:O24" si="2">J22</f>
        <v>0</v>
      </c>
      <c r="K23" s="39">
        <f t="shared" si="2"/>
        <v>0</v>
      </c>
      <c r="L23" s="39">
        <f t="shared" si="2"/>
        <v>5</v>
      </c>
      <c r="M23" s="39">
        <f t="shared" si="2"/>
        <v>0</v>
      </c>
      <c r="N23" s="39">
        <f t="shared" si="2"/>
        <v>0</v>
      </c>
      <c r="O23" s="39">
        <f t="shared" si="2"/>
        <v>0</v>
      </c>
      <c r="R23" s="153"/>
      <c r="S23" s="39">
        <f>IF(Бланк!M2="Индивид.","",MATCH(S22,Таблица18[[#All],[Столбец1]],0))</f>
        <v>3</v>
      </c>
      <c r="T23" s="39" t="s">
        <v>967</v>
      </c>
      <c r="V23" s="39">
        <f>MATCH(V22,Таблица18[[#All],[Столбец1]],0)</f>
        <v>3</v>
      </c>
      <c r="W23" s="39" t="s">
        <v>967</v>
      </c>
      <c r="Y23" s="39">
        <f>MATCH(Y22,Таблица18[[#All],[Столбец1]],0)</f>
        <v>4</v>
      </c>
      <c r="Z23" s="39" t="s">
        <v>967</v>
      </c>
    </row>
    <row r="24" spans="1:26">
      <c r="A24" s="39"/>
      <c r="B24" s="410" t="s">
        <v>290</v>
      </c>
      <c r="C24" s="39"/>
      <c r="F24" s="39"/>
      <c r="H24" s="42" t="str">
        <f>CONCATENATE($D$14,D17)</f>
        <v>Антик</v>
      </c>
      <c r="I24" s="39">
        <f>I23</f>
        <v>5</v>
      </c>
      <c r="J24" s="39">
        <f t="shared" si="2"/>
        <v>0</v>
      </c>
      <c r="K24" s="39">
        <f t="shared" si="2"/>
        <v>0</v>
      </c>
      <c r="L24" s="39">
        <f t="shared" si="2"/>
        <v>5</v>
      </c>
      <c r="M24" s="39">
        <f t="shared" si="2"/>
        <v>0</v>
      </c>
      <c r="N24" s="39">
        <f t="shared" si="2"/>
        <v>0</v>
      </c>
      <c r="O24" s="39">
        <f t="shared" si="2"/>
        <v>0</v>
      </c>
      <c r="R24" s="153"/>
      <c r="S24">
        <f>IF(Бланк!M2="Индивид.","",HLOOKUP(Бланк!$M$2,Таблица18[#All],S23,0))</f>
        <v>2100</v>
      </c>
      <c r="T24" s="39" t="str">
        <f>CONCATENATE("&lt;=",S24," Рис.!!!")</f>
        <v>&lt;=2100 Рис.!!!</v>
      </c>
      <c r="V24" s="39">
        <f>HLOOKUP(Бланк!$M$18,Таблица18[#All],V23,0)</f>
        <v>2400</v>
      </c>
      <c r="W24" s="39" t="str">
        <f>CONCATENATE("&lt;=",V24," Рис.!!!")</f>
        <v>&lt;=2400 Рис.!!!</v>
      </c>
      <c r="Y24" s="39">
        <f>HLOOKUP(Бланк!$M$34,Таблица18[#All],Y23,0)</f>
        <v>2400</v>
      </c>
      <c r="Z24" s="39" t="str">
        <f>CONCATENATE("&lt;=",Y24," Рис.!!!")</f>
        <v>&lt;=2400 Рис.!!!</v>
      </c>
    </row>
    <row r="25" spans="1:26">
      <c r="A25" s="39"/>
      <c r="B25" s="396" t="s">
        <v>537</v>
      </c>
      <c r="C25" s="39"/>
      <c r="F25" s="39"/>
      <c r="G25" s="153"/>
      <c r="H25" s="42"/>
      <c r="I25" s="39"/>
      <c r="J25" s="39"/>
      <c r="K25" s="39"/>
      <c r="R25" s="153"/>
      <c r="S25" s="39" t="str">
        <f>IF(OR(Номер_открывания_1=2,Номер_открывания_1=4,Номер_открывания_1=6,Номер_открывания_1=8,Номер_открывания_1=12,Номер_открывания_1=14,Номер_открывания_1=16,Номер_открывания_1=18),"","нет")</f>
        <v>нет</v>
      </c>
      <c r="V25" s="39" t="str">
        <f>IF(OR(Номер_открывания_2=2,Номер_открывания_2=4,Номер_открывания_2=6,Номер_открывания_2=8,Номер_открывания_2=12,Номер_открывания_2=14,Номер_открывания_2=16,Номер_открывания_2=18),"","нет")</f>
        <v>нет</v>
      </c>
      <c r="W25" s="39"/>
      <c r="Y25" s="39" t="str">
        <f>IF(OR(Номер_открывания_3=2,Номер_открывания_3=4,Номер_открывания_3=6,Номер_открывания_3=8,Номер_открывания_3=12,Номер_открывания_3=14,Номер_открывания_3=16,Номер_открывания_3=18),"","нет")</f>
        <v>нет</v>
      </c>
      <c r="Z25" s="39"/>
    </row>
    <row r="26" spans="1:26" ht="15.75" thickBot="1">
      <c r="B26" s="608" t="s">
        <v>1271</v>
      </c>
      <c r="G26" s="40"/>
      <c r="H26" s="42" t="str">
        <f>C14</f>
        <v>Шёлк</v>
      </c>
      <c r="I26" s="39">
        <v>5</v>
      </c>
      <c r="L26" s="39">
        <v>5</v>
      </c>
      <c r="R26" s="153"/>
      <c r="S26" s="39" t="str">
        <f>IF(S24&lt;=0,"",IF(AND(S25="нет",Бланк!$X$3&gt;S24),T24,""))</f>
        <v/>
      </c>
      <c r="V26" s="39" t="str">
        <f>IF(V24&lt;=0,"",IF(AND(V25="нет",Бланк!$X$19&gt;V24),W24,""))</f>
        <v/>
      </c>
      <c r="W26" s="39"/>
      <c r="Y26" s="39" t="str">
        <f>IF(Y24&lt;=0,"",IF(AND(Y25="нет",Бланк!$X$35&gt;Y24),Z24,""))</f>
        <v/>
      </c>
      <c r="Z26" s="39"/>
    </row>
    <row r="27" spans="1:26">
      <c r="G27" s="40"/>
      <c r="H27" s="42" t="str">
        <f>D14</f>
        <v>Антик</v>
      </c>
      <c r="I27" s="39">
        <v>5</v>
      </c>
      <c r="J27" s="39">
        <f t="shared" ref="J27:O27" si="3">J22</f>
        <v>0</v>
      </c>
      <c r="K27" s="39">
        <f t="shared" si="3"/>
        <v>0</v>
      </c>
      <c r="L27" s="39">
        <v>5</v>
      </c>
      <c r="M27" s="39">
        <f t="shared" si="3"/>
        <v>0</v>
      </c>
      <c r="N27" s="39">
        <f t="shared" si="3"/>
        <v>0</v>
      </c>
      <c r="O27" s="39">
        <f t="shared" si="3"/>
        <v>0</v>
      </c>
      <c r="P27" s="153"/>
      <c r="Q27" s="153"/>
      <c r="R27" s="153"/>
    </row>
    <row r="28" spans="1:26">
      <c r="G28" s="40"/>
      <c r="H28" s="42" t="str">
        <f>E14</f>
        <v>Муар</v>
      </c>
      <c r="I28" s="39"/>
      <c r="J28" s="39"/>
      <c r="K28" s="39"/>
      <c r="P28" s="153"/>
      <c r="Q28" s="153"/>
    </row>
    <row r="29" spans="1:26" s="39" customFormat="1">
      <c r="G29" s="40"/>
      <c r="H29" s="42" t="s">
        <v>1621</v>
      </c>
      <c r="P29" s="153"/>
      <c r="Q29" s="153"/>
    </row>
    <row r="30" spans="1:26" s="39" customFormat="1">
      <c r="G30" s="40"/>
      <c r="H30" s="42" t="s">
        <v>1622</v>
      </c>
      <c r="I30" s="39">
        <f>I10</f>
        <v>0</v>
      </c>
      <c r="J30" s="39">
        <f t="shared" ref="J30:O30" si="4">J10</f>
        <v>0</v>
      </c>
      <c r="K30" s="39">
        <f t="shared" si="4"/>
        <v>0</v>
      </c>
      <c r="L30" s="39">
        <f t="shared" si="4"/>
        <v>0</v>
      </c>
      <c r="M30" s="39">
        <f t="shared" si="4"/>
        <v>0</v>
      </c>
      <c r="N30" s="39">
        <f t="shared" si="4"/>
        <v>0</v>
      </c>
      <c r="O30" s="39">
        <f t="shared" si="4"/>
        <v>0</v>
      </c>
      <c r="P30" s="153"/>
      <c r="Q30" s="153"/>
    </row>
    <row r="31" spans="1:26" s="39" customFormat="1">
      <c r="G31" s="40"/>
      <c r="H31" s="42"/>
      <c r="P31" s="153"/>
      <c r="Q31" s="153"/>
    </row>
    <row r="32" spans="1:26" s="39" customFormat="1">
      <c r="G32" s="40"/>
      <c r="H32" s="42"/>
      <c r="P32" s="153"/>
      <c r="Q32" s="153"/>
    </row>
    <row r="33" spans="1:27" s="39" customFormat="1">
      <c r="G33" s="40"/>
      <c r="H33" s="42"/>
      <c r="P33" s="153"/>
      <c r="Q33" s="153"/>
    </row>
    <row r="34" spans="1:27">
      <c r="G34" s="40"/>
      <c r="H34" s="42"/>
      <c r="I34" s="39"/>
      <c r="J34" s="39"/>
      <c r="K34" s="39"/>
      <c r="P34" s="153"/>
      <c r="Q34" s="153"/>
    </row>
    <row r="35" spans="1:27">
      <c r="B35" s="187"/>
      <c r="H35" s="42" t="s">
        <v>92</v>
      </c>
      <c r="I35" s="39"/>
      <c r="J35" s="39"/>
      <c r="K35" s="39"/>
      <c r="P35" s="61"/>
      <c r="Q35" s="153"/>
    </row>
    <row r="36" spans="1:27">
      <c r="B36" s="187"/>
      <c r="H36" s="42" t="s">
        <v>1272</v>
      </c>
      <c r="I36" s="39">
        <v>30</v>
      </c>
      <c r="J36" s="39">
        <v>30</v>
      </c>
      <c r="K36" s="39">
        <v>30</v>
      </c>
      <c r="L36" s="39">
        <v>30</v>
      </c>
      <c r="M36" s="39">
        <v>30</v>
      </c>
      <c r="N36" s="39">
        <v>30</v>
      </c>
      <c r="O36" s="39">
        <v>30</v>
      </c>
      <c r="P36" s="61"/>
    </row>
    <row r="37" spans="1:27" s="39" customFormat="1">
      <c r="B37" s="187"/>
      <c r="H37" s="42" t="s">
        <v>1449</v>
      </c>
      <c r="I37" s="39">
        <v>30</v>
      </c>
      <c r="J37" s="39">
        <v>30</v>
      </c>
      <c r="K37" s="39">
        <v>30</v>
      </c>
      <c r="L37" s="39">
        <v>30</v>
      </c>
      <c r="M37" s="39">
        <v>30</v>
      </c>
      <c r="N37" s="39">
        <v>30</v>
      </c>
      <c r="O37" s="39">
        <v>30</v>
      </c>
      <c r="P37" s="61"/>
    </row>
    <row r="38" spans="1:27" s="39" customFormat="1">
      <c r="B38" s="187"/>
      <c r="H38" s="42" t="s">
        <v>1236</v>
      </c>
      <c r="P38" s="61"/>
    </row>
    <row r="39" spans="1:27" s="39" customFormat="1">
      <c r="B39" s="153"/>
      <c r="H39" s="42" t="s">
        <v>1631</v>
      </c>
      <c r="I39" s="39">
        <v>8</v>
      </c>
      <c r="J39" s="39">
        <f>Таблица2022[[#This Row],[О_0]]</f>
        <v>8</v>
      </c>
      <c r="L39" s="39">
        <f>Таблица2022[[#This Row],[О_0]]</f>
        <v>8</v>
      </c>
      <c r="M39" s="39">
        <f>Таблица2022[[#This Row],[О_0]]</f>
        <v>8</v>
      </c>
      <c r="N39" s="39">
        <f>Таблица2022[[#This Row],[О_0]]</f>
        <v>8</v>
      </c>
      <c r="P39" s="61"/>
    </row>
    <row r="40" spans="1:27" s="39" customFormat="1">
      <c r="H40" s="42"/>
      <c r="P40" s="61"/>
    </row>
    <row r="41" spans="1:27" s="39" customFormat="1">
      <c r="H41" s="42" t="s">
        <v>1227</v>
      </c>
      <c r="P41" s="61"/>
    </row>
    <row r="42" spans="1:27">
      <c r="A42" s="40"/>
      <c r="B42" s="40"/>
      <c r="E42" s="39"/>
      <c r="F42" s="40"/>
      <c r="H42" s="40"/>
      <c r="I42" s="39"/>
      <c r="J42" s="39"/>
      <c r="K42" s="39"/>
      <c r="P42" s="61"/>
    </row>
    <row r="43" spans="1:27" ht="15.75" thickBot="1">
      <c r="A43" s="39"/>
      <c r="H43" s="39"/>
      <c r="I43" s="39"/>
      <c r="J43" s="39"/>
      <c r="K43" s="39"/>
    </row>
    <row r="44" spans="1:27" ht="15.75" thickBot="1">
      <c r="B44"/>
      <c r="D44"/>
      <c r="F44" s="562" t="str">
        <f>IF(OR(Бланк!M2="О_2",Бланк!M2="М_2",Бланк!M2="М_3"),F46,H64)</f>
        <v>_2_х_конт</v>
      </c>
      <c r="R44" s="153"/>
      <c r="S44" s="44" t="s">
        <v>1026</v>
      </c>
    </row>
    <row r="45" spans="1:27" ht="15.75" thickBot="1">
      <c r="B45" s="76" t="s">
        <v>360</v>
      </c>
      <c r="D45"/>
      <c r="F45" s="32"/>
      <c r="S45" s="153" t="s">
        <v>82</v>
      </c>
      <c r="T45" s="333" t="s">
        <v>412</v>
      </c>
      <c r="U45" s="333" t="s">
        <v>413</v>
      </c>
      <c r="V45" s="333" t="s">
        <v>414</v>
      </c>
      <c r="W45" s="333" t="s">
        <v>415</v>
      </c>
      <c r="X45" s="333" t="s">
        <v>416</v>
      </c>
      <c r="Y45" s="333" t="s">
        <v>417</v>
      </c>
      <c r="Z45" s="342" t="s">
        <v>418</v>
      </c>
      <c r="AA45" s="512" t="s">
        <v>440</v>
      </c>
    </row>
    <row r="46" spans="1:27">
      <c r="B46" s="42" t="s">
        <v>6</v>
      </c>
      <c r="C46" s="76" t="s">
        <v>851</v>
      </c>
      <c r="D46" s="76" t="s">
        <v>713</v>
      </c>
      <c r="F46" s="560" t="s">
        <v>1051</v>
      </c>
      <c r="S46" s="153" t="s">
        <v>1053</v>
      </c>
      <c r="T46" s="153"/>
      <c r="U46" s="153">
        <f>T47</f>
        <v>2100</v>
      </c>
      <c r="V46" s="153">
        <f>$T$47</f>
        <v>2100</v>
      </c>
      <c r="W46" s="153"/>
      <c r="X46" s="153">
        <f>$W$47</f>
        <v>2400</v>
      </c>
      <c r="Y46" s="153">
        <f t="shared" ref="Y46:Z47" si="5">$W$47</f>
        <v>2400</v>
      </c>
      <c r="Z46" s="153">
        <f t="shared" si="5"/>
        <v>2400</v>
      </c>
      <c r="AA46" s="61"/>
    </row>
    <row r="47" spans="1:27" ht="15.75" customHeight="1">
      <c r="B47" s="42" t="s">
        <v>677</v>
      </c>
      <c r="C47" s="42" t="s">
        <v>852</v>
      </c>
      <c r="D47" s="42" t="s">
        <v>711</v>
      </c>
      <c r="F47" s="560" t="s">
        <v>96</v>
      </c>
      <c r="G47" s="610"/>
      <c r="S47" s="39" t="s">
        <v>96</v>
      </c>
      <c r="T47" s="356">
        <v>2100</v>
      </c>
      <c r="U47" s="547">
        <f>Таблица18[[#This Row],[О_0]]</f>
        <v>2100</v>
      </c>
      <c r="V47" s="153">
        <f t="shared" ref="V47:V52" si="6">$T$47</f>
        <v>2100</v>
      </c>
      <c r="W47" s="356">
        <v>2400</v>
      </c>
      <c r="X47" s="153">
        <f>$W$47</f>
        <v>2400</v>
      </c>
      <c r="Y47" s="153">
        <f t="shared" si="5"/>
        <v>2400</v>
      </c>
      <c r="Z47" s="153">
        <f t="shared" si="5"/>
        <v>2400</v>
      </c>
      <c r="AA47" s="61"/>
    </row>
    <row r="48" spans="1:27" ht="15" customHeight="1" thickBot="1">
      <c r="B48" s="53" t="s">
        <v>714</v>
      </c>
      <c r="C48" s="42" t="s">
        <v>709</v>
      </c>
      <c r="D48" s="53" t="s">
        <v>712</v>
      </c>
      <c r="F48" s="561" t="s">
        <v>320</v>
      </c>
      <c r="S48" t="s">
        <v>968</v>
      </c>
      <c r="U48" s="44">
        <v>2250</v>
      </c>
      <c r="V48" s="153">
        <f t="shared" si="6"/>
        <v>2100</v>
      </c>
      <c r="X48" s="153">
        <f t="shared" ref="X48:Z63" si="7">$W$47</f>
        <v>2400</v>
      </c>
      <c r="Y48" s="153">
        <f t="shared" si="7"/>
        <v>2400</v>
      </c>
      <c r="Z48" s="153">
        <f t="shared" si="7"/>
        <v>2400</v>
      </c>
      <c r="AA48" s="61"/>
    </row>
    <row r="49" spans="1:27" ht="15.75" thickBot="1">
      <c r="C49" s="42" t="s">
        <v>710</v>
      </c>
      <c r="F49" s="39"/>
      <c r="S49" s="153" t="s">
        <v>320</v>
      </c>
      <c r="T49" s="61"/>
      <c r="U49" s="547">
        <f>U47</f>
        <v>2100</v>
      </c>
      <c r="V49" s="153">
        <f t="shared" si="6"/>
        <v>2100</v>
      </c>
      <c r="W49" s="153">
        <f>$W$47</f>
        <v>2400</v>
      </c>
      <c r="X49" s="153">
        <f t="shared" si="7"/>
        <v>2400</v>
      </c>
      <c r="Y49" s="153">
        <f t="shared" si="7"/>
        <v>2400</v>
      </c>
      <c r="Z49" s="153">
        <f t="shared" si="7"/>
        <v>2400</v>
      </c>
      <c r="AA49" s="61"/>
    </row>
    <row r="50" spans="1:27" ht="15.75" thickBot="1">
      <c r="A50" s="38" t="s">
        <v>618</v>
      </c>
      <c r="B50" s="37" t="s">
        <v>1142</v>
      </c>
      <c r="C50" s="632" t="str">
        <f>Цена!C279</f>
        <v>Квад-т хром</v>
      </c>
      <c r="D50" s="37" t="str">
        <f>Цена!C280</f>
        <v>Круг чёр.</v>
      </c>
      <c r="E50" s="37" t="str">
        <f>Цена!C281</f>
        <v>Квад-т чёрн.</v>
      </c>
      <c r="F50" t="str">
        <f>Цена!C282</f>
        <v>Круг никель</v>
      </c>
      <c r="G50" s="36" t="s">
        <v>619</v>
      </c>
      <c r="S50" t="s">
        <v>928</v>
      </c>
      <c r="T50" s="153"/>
      <c r="U50" s="547">
        <f>V47</f>
        <v>2100</v>
      </c>
      <c r="V50" s="153">
        <f t="shared" si="6"/>
        <v>2100</v>
      </c>
      <c r="W50" s="153"/>
      <c r="X50" s="153">
        <f t="shared" si="7"/>
        <v>2400</v>
      </c>
      <c r="Y50" s="153">
        <f t="shared" si="7"/>
        <v>2400</v>
      </c>
      <c r="Z50" s="153">
        <f t="shared" si="7"/>
        <v>2400</v>
      </c>
      <c r="AA50" s="61"/>
    </row>
    <row r="51" spans="1:27" ht="15.75" thickBot="1">
      <c r="A51" s="38" t="s">
        <v>620</v>
      </c>
      <c r="B51" s="37">
        <v>1</v>
      </c>
      <c r="C51" s="37">
        <v>2</v>
      </c>
      <c r="D51" s="37">
        <v>3</v>
      </c>
      <c r="E51" s="37">
        <v>4</v>
      </c>
      <c r="F51" s="37">
        <v>5</v>
      </c>
      <c r="G51" s="36">
        <v>6</v>
      </c>
      <c r="S51" s="39" t="s">
        <v>1016</v>
      </c>
      <c r="T51" s="61"/>
      <c r="U51" s="61"/>
      <c r="V51" s="153">
        <f t="shared" si="6"/>
        <v>2100</v>
      </c>
      <c r="W51" s="61"/>
      <c r="X51" s="153">
        <f t="shared" si="7"/>
        <v>2400</v>
      </c>
      <c r="Y51" s="61"/>
      <c r="Z51" s="153">
        <f t="shared" si="7"/>
        <v>2400</v>
      </c>
      <c r="AA51" s="61"/>
    </row>
    <row r="52" spans="1:27">
      <c r="G52" s="40"/>
      <c r="H52" s="39" t="str">
        <f>H1</f>
        <v>О_0</v>
      </c>
      <c r="I52" s="39" t="str">
        <f>I1</f>
        <v>М_1</v>
      </c>
      <c r="J52" s="39" t="str">
        <f>J1</f>
        <v>М_3</v>
      </c>
      <c r="K52" s="39"/>
      <c r="P52" s="153"/>
      <c r="Q52" s="153"/>
      <c r="S52" s="39" t="s">
        <v>929</v>
      </c>
      <c r="T52" s="61"/>
      <c r="U52" s="61"/>
      <c r="V52" s="153">
        <f t="shared" si="6"/>
        <v>2100</v>
      </c>
      <c r="W52" s="61"/>
      <c r="X52" s="153">
        <f t="shared" si="7"/>
        <v>2400</v>
      </c>
      <c r="Y52" s="61"/>
      <c r="Z52" s="153">
        <f t="shared" si="7"/>
        <v>2400</v>
      </c>
      <c r="AA52" s="61"/>
    </row>
    <row r="53" spans="1:27" s="39" customFormat="1" ht="15.75" thickBot="1">
      <c r="A53"/>
      <c r="C53"/>
      <c r="E53"/>
      <c r="F53"/>
      <c r="G53" s="40"/>
      <c r="H53" s="39">
        <f>MATCH(H52,Таблица2022[#Headers],0)</f>
        <v>2</v>
      </c>
      <c r="I53" s="39">
        <f>MATCH(I52,Таблица2022[#Headers],0)</f>
        <v>6</v>
      </c>
      <c r="J53" s="39">
        <f>MATCH(J52,Таблица2022[#Headers],0)</f>
        <v>8</v>
      </c>
      <c r="P53" s="356"/>
      <c r="Q53" s="153"/>
      <c r="S53" s="495" t="s">
        <v>441</v>
      </c>
      <c r="T53" s="153"/>
      <c r="U53" s="153"/>
      <c r="V53" s="153"/>
      <c r="W53" s="153"/>
      <c r="X53" s="153">
        <f t="shared" si="7"/>
        <v>2400</v>
      </c>
      <c r="Y53" s="153"/>
      <c r="Z53" s="153"/>
      <c r="AA53" s="153"/>
    </row>
    <row r="54" spans="1:27" s="39" customFormat="1">
      <c r="A54" s="76" t="s">
        <v>419</v>
      </c>
      <c r="B54" s="76" t="s">
        <v>413</v>
      </c>
      <c r="C54" s="76" t="s">
        <v>414</v>
      </c>
      <c r="D54" s="76" t="s">
        <v>415</v>
      </c>
      <c r="E54" s="76" t="s">
        <v>416</v>
      </c>
      <c r="F54" s="76" t="s">
        <v>417</v>
      </c>
      <c r="H54" s="39" t="str">
        <f>CONCATENATE(Бланк!U9,Бланк!V10)</f>
        <v>шагрень</v>
      </c>
      <c r="I54" s="39" t="str">
        <f>CONCATENATE(Бланк!U25,Бланк!V26)</f>
        <v>шёлк</v>
      </c>
      <c r="J54" s="39" t="str">
        <f>CONCATENATE(Бланк!U41,Бланк!V42)</f>
        <v>шёлк</v>
      </c>
      <c r="K54" s="339"/>
      <c r="P54" s="153"/>
      <c r="Q54" s="153"/>
      <c r="S54" s="39" t="s">
        <v>1018</v>
      </c>
      <c r="T54" s="548">
        <f>$T$47</f>
        <v>2100</v>
      </c>
      <c r="U54" s="548">
        <f t="shared" ref="T54:V63" si="8">$T$47</f>
        <v>2100</v>
      </c>
      <c r="V54" s="61"/>
      <c r="W54" s="153">
        <f t="shared" ref="W54:W58" si="9">$W$47</f>
        <v>2400</v>
      </c>
      <c r="X54" s="153">
        <f t="shared" si="7"/>
        <v>2400</v>
      </c>
      <c r="Y54" s="153">
        <f t="shared" si="7"/>
        <v>2400</v>
      </c>
      <c r="Z54" s="61"/>
      <c r="AA54" s="61"/>
    </row>
    <row r="55" spans="1:27" s="39" customFormat="1" ht="16.5" thickBot="1">
      <c r="A55" s="42" t="s">
        <v>11</v>
      </c>
      <c r="B55" s="42" t="s">
        <v>11</v>
      </c>
      <c r="C55" s="42" t="s">
        <v>6</v>
      </c>
      <c r="D55" s="42" t="s">
        <v>11</v>
      </c>
      <c r="E55" s="42" t="s">
        <v>11</v>
      </c>
      <c r="F55" s="42" t="s">
        <v>11</v>
      </c>
      <c r="G55" s="680" t="s">
        <v>1223</v>
      </c>
      <c r="H55" s="39">
        <f>IF(OR(H54=$H$57,H54=$H$58),"ошибка",1)</f>
        <v>1</v>
      </c>
      <c r="I55" s="39">
        <f>IF(OR(I54=$H$57,I54=$H$58),"ошибка",1)</f>
        <v>1</v>
      </c>
      <c r="J55" s="39">
        <f>IF(OR(J54=$H$57,J54=$H$58),"ошибка",1)</f>
        <v>1</v>
      </c>
      <c r="P55" s="153"/>
      <c r="Q55" s="153"/>
      <c r="S55" t="s">
        <v>1017</v>
      </c>
      <c r="T55" s="548">
        <f t="shared" si="8"/>
        <v>2100</v>
      </c>
      <c r="U55" s="548">
        <f t="shared" si="8"/>
        <v>2100</v>
      </c>
      <c r="V55" s="61">
        <f>Таблица18[[#This Row],[О_1]]</f>
        <v>2100</v>
      </c>
      <c r="W55" s="153">
        <f t="shared" si="9"/>
        <v>2400</v>
      </c>
      <c r="X55" s="153">
        <f t="shared" si="7"/>
        <v>2400</v>
      </c>
      <c r="Y55" s="153">
        <f t="shared" si="7"/>
        <v>2400</v>
      </c>
      <c r="Z55" s="61"/>
      <c r="AA55" s="61"/>
    </row>
    <row r="56" spans="1:27" s="39" customFormat="1" ht="16.5" thickBot="1">
      <c r="A56" s="42" t="s">
        <v>344</v>
      </c>
      <c r="B56" s="42" t="s">
        <v>344</v>
      </c>
      <c r="C56" s="53" t="s">
        <v>677</v>
      </c>
      <c r="D56" s="42" t="s">
        <v>344</v>
      </c>
      <c r="E56" s="42" t="s">
        <v>344</v>
      </c>
      <c r="F56" s="42" t="s">
        <v>344</v>
      </c>
      <c r="G56" s="680"/>
      <c r="H56" s="579" t="s">
        <v>82</v>
      </c>
      <c r="I56" s="39" t="s">
        <v>412</v>
      </c>
      <c r="J56" s="39" t="s">
        <v>413</v>
      </c>
      <c r="K56" s="39" t="s">
        <v>414</v>
      </c>
      <c r="L56" s="39" t="s">
        <v>415</v>
      </c>
      <c r="M56" s="39" t="s">
        <v>416</v>
      </c>
      <c r="N56" s="39" t="s">
        <v>417</v>
      </c>
      <c r="O56" s="39" t="s">
        <v>418</v>
      </c>
      <c r="P56" s="153" t="s">
        <v>441</v>
      </c>
      <c r="Q56" s="153"/>
      <c r="S56" s="39" t="s">
        <v>1036</v>
      </c>
      <c r="T56" s="548">
        <f t="shared" si="8"/>
        <v>2100</v>
      </c>
      <c r="U56" s="548">
        <f t="shared" si="8"/>
        <v>2100</v>
      </c>
      <c r="V56" s="61">
        <f>Таблица18[[#This Row],[О_1]]</f>
        <v>2100</v>
      </c>
      <c r="W56" s="153">
        <f t="shared" si="9"/>
        <v>2400</v>
      </c>
      <c r="X56" s="153">
        <f t="shared" si="7"/>
        <v>2400</v>
      </c>
      <c r="Y56" s="153">
        <f t="shared" si="7"/>
        <v>2400</v>
      </c>
      <c r="Z56" s="61"/>
      <c r="AA56" s="61"/>
    </row>
    <row r="57" spans="1:27" s="39" customFormat="1" ht="15.75" thickBot="1">
      <c r="A57" s="53"/>
      <c r="B57" s="53"/>
      <c r="C57"/>
      <c r="D57" s="53"/>
      <c r="E57" s="53"/>
      <c r="F57" s="42"/>
      <c r="H57" s="39" t="s">
        <v>1222</v>
      </c>
      <c r="I57" s="39" t="s">
        <v>1075</v>
      </c>
      <c r="J57" s="39" t="s">
        <v>1075</v>
      </c>
      <c r="K57" s="39" t="s">
        <v>1075</v>
      </c>
      <c r="L57" s="39" t="s">
        <v>1075</v>
      </c>
      <c r="M57" s="39" t="s">
        <v>1075</v>
      </c>
      <c r="N57" s="39" t="s">
        <v>1075</v>
      </c>
      <c r="O57" s="39" t="s">
        <v>1075</v>
      </c>
      <c r="P57" s="153"/>
      <c r="Q57" s="153"/>
      <c r="S57" s="39" t="s">
        <v>1019</v>
      </c>
      <c r="T57" s="548">
        <f t="shared" si="8"/>
        <v>2100</v>
      </c>
      <c r="U57" s="548">
        <f t="shared" si="8"/>
        <v>2100</v>
      </c>
      <c r="V57" s="61"/>
      <c r="W57" s="153">
        <f t="shared" si="9"/>
        <v>2400</v>
      </c>
      <c r="X57" s="153">
        <f t="shared" si="7"/>
        <v>2400</v>
      </c>
      <c r="Y57" s="153">
        <f t="shared" si="7"/>
        <v>2400</v>
      </c>
      <c r="Z57" s="61"/>
      <c r="AA57" s="61"/>
    </row>
    <row r="58" spans="1:27" s="39" customFormat="1" ht="15.75" thickBot="1">
      <c r="A58" s="40"/>
      <c r="B58" s="40"/>
      <c r="C58"/>
      <c r="D58" s="40"/>
      <c r="E58" s="40"/>
      <c r="F58" s="53"/>
      <c r="G58" s="40"/>
      <c r="P58" s="153"/>
      <c r="Q58" s="153"/>
      <c r="S58" s="39" t="s">
        <v>1020</v>
      </c>
      <c r="T58" s="548">
        <f t="shared" si="8"/>
        <v>2100</v>
      </c>
      <c r="U58" s="548">
        <f t="shared" si="8"/>
        <v>2100</v>
      </c>
      <c r="V58" s="61"/>
      <c r="W58" s="153">
        <f t="shared" si="9"/>
        <v>2400</v>
      </c>
      <c r="X58" s="153">
        <f t="shared" si="7"/>
        <v>2400</v>
      </c>
      <c r="Y58" s="153">
        <f t="shared" si="7"/>
        <v>2400</v>
      </c>
      <c r="Z58" s="61"/>
      <c r="AA58" s="61"/>
    </row>
    <row r="59" spans="1:27">
      <c r="D59" s="40"/>
      <c r="H59" s="39"/>
      <c r="I59" s="39"/>
      <c r="P59" s="153"/>
      <c r="Q59" s="153"/>
      <c r="S59" s="39" t="s">
        <v>1021</v>
      </c>
      <c r="T59" s="61"/>
      <c r="U59" s="548">
        <f t="shared" si="8"/>
        <v>2100</v>
      </c>
      <c r="V59" s="548">
        <f t="shared" si="8"/>
        <v>2100</v>
      </c>
      <c r="W59" s="61"/>
      <c r="X59" s="153">
        <f t="shared" si="7"/>
        <v>2400</v>
      </c>
      <c r="Y59" s="153">
        <f t="shared" si="7"/>
        <v>2400</v>
      </c>
      <c r="Z59" s="153">
        <f t="shared" si="7"/>
        <v>2400</v>
      </c>
      <c r="AA59" s="61"/>
    </row>
    <row r="60" spans="1:27" ht="15.75" thickBot="1">
      <c r="A60" s="39"/>
      <c r="C60" s="39"/>
      <c r="D60" s="153" t="s">
        <v>956</v>
      </c>
      <c r="E60" s="39"/>
      <c r="F60" s="39"/>
      <c r="H60" s="39"/>
      <c r="I60" s="39"/>
      <c r="P60" s="153"/>
      <c r="Q60" s="153"/>
      <c r="S60" s="39" t="s">
        <v>1022</v>
      </c>
      <c r="T60" s="61"/>
      <c r="U60" s="548">
        <f t="shared" si="8"/>
        <v>2100</v>
      </c>
      <c r="V60" s="548">
        <f t="shared" si="8"/>
        <v>2100</v>
      </c>
      <c r="W60" s="61"/>
      <c r="X60" s="153">
        <f t="shared" si="7"/>
        <v>2400</v>
      </c>
      <c r="Y60" s="153">
        <f t="shared" si="7"/>
        <v>2400</v>
      </c>
      <c r="Z60" s="61">
        <f>Z59</f>
        <v>2400</v>
      </c>
      <c r="AA60" s="61"/>
    </row>
    <row r="61" spans="1:27" ht="15.75" thickBot="1">
      <c r="A61" s="473" t="s">
        <v>816</v>
      </c>
      <c r="B61" s="473" t="s">
        <v>816</v>
      </c>
      <c r="C61" s="39"/>
      <c r="D61" s="153" t="s">
        <v>763</v>
      </c>
      <c r="E61" s="39"/>
      <c r="F61" s="39"/>
      <c r="H61" s="39"/>
      <c r="I61" s="39"/>
      <c r="P61" s="153"/>
      <c r="Q61" s="153"/>
      <c r="S61" s="39" t="s">
        <v>1023</v>
      </c>
      <c r="T61" s="61">
        <f>T47</f>
        <v>2100</v>
      </c>
      <c r="U61" s="548">
        <f t="shared" si="8"/>
        <v>2100</v>
      </c>
      <c r="V61" s="61"/>
      <c r="W61" s="153">
        <f t="shared" ref="W61:W62" si="10">$W$47</f>
        <v>2400</v>
      </c>
      <c r="X61" s="153">
        <f t="shared" si="7"/>
        <v>2400</v>
      </c>
      <c r="Y61" s="153">
        <f t="shared" si="7"/>
        <v>2400</v>
      </c>
      <c r="Z61" s="61"/>
      <c r="AA61" s="61"/>
    </row>
    <row r="62" spans="1:27">
      <c r="A62" s="39"/>
      <c r="B62" s="39" t="s">
        <v>822</v>
      </c>
      <c r="C62" s="39"/>
      <c r="D62" s="40" t="s">
        <v>762</v>
      </c>
      <c r="E62" s="39"/>
      <c r="F62" s="39"/>
      <c r="H62" s="563" t="str">
        <f>IF(OR(Бланк!M18="О_2",Бланк!M18="М_2",Бланк!M18="М_3"),F46,H64)</f>
        <v>_2_х_конт</v>
      </c>
      <c r="I62" s="564" t="str">
        <f>IF(OR(Бланк!M34="О_2",Бланк!M34="М_2",Бланк!M34="М_3"),F46,H64)</f>
        <v>_3_х_конт</v>
      </c>
      <c r="P62" s="153"/>
      <c r="Q62" s="153"/>
      <c r="S62" s="39" t="s">
        <v>1024</v>
      </c>
      <c r="T62" s="61">
        <f>T61</f>
        <v>2100</v>
      </c>
      <c r="U62" s="548">
        <f t="shared" si="8"/>
        <v>2100</v>
      </c>
      <c r="V62" s="61"/>
      <c r="W62" s="153">
        <f t="shared" si="10"/>
        <v>2400</v>
      </c>
      <c r="X62" s="153">
        <f t="shared" si="7"/>
        <v>2400</v>
      </c>
      <c r="Y62" s="153">
        <f t="shared" si="7"/>
        <v>2400</v>
      </c>
      <c r="Z62" s="61"/>
      <c r="AA62" s="61"/>
    </row>
    <row r="63" spans="1:27">
      <c r="A63" s="39"/>
      <c r="C63" s="39"/>
      <c r="D63" s="40"/>
      <c r="E63" s="39"/>
      <c r="F63" s="39"/>
      <c r="H63" s="40"/>
      <c r="I63" s="31"/>
      <c r="P63" s="153"/>
      <c r="Q63" s="153"/>
      <c r="S63" s="39" t="s">
        <v>1045</v>
      </c>
      <c r="T63" s="61"/>
      <c r="U63" s="548">
        <f t="shared" si="8"/>
        <v>2100</v>
      </c>
      <c r="V63" s="548">
        <f t="shared" si="8"/>
        <v>2100</v>
      </c>
      <c r="W63" s="61"/>
      <c r="X63" s="153">
        <f t="shared" si="7"/>
        <v>2400</v>
      </c>
      <c r="Y63" s="153">
        <f t="shared" si="7"/>
        <v>2400</v>
      </c>
      <c r="Z63" s="61"/>
      <c r="AA63" s="61"/>
    </row>
    <row r="64" spans="1:27">
      <c r="A64" s="39"/>
      <c r="B64" s="39" t="s">
        <v>920</v>
      </c>
      <c r="C64" s="40"/>
      <c r="D64" s="39" t="s">
        <v>938</v>
      </c>
      <c r="E64" s="39"/>
      <c r="F64" s="39" t="s">
        <v>939</v>
      </c>
      <c r="H64" s="43" t="s">
        <v>1050</v>
      </c>
      <c r="I64" s="31"/>
      <c r="P64" s="153"/>
      <c r="Q64" s="153"/>
      <c r="S64" s="39" t="s">
        <v>6</v>
      </c>
      <c r="T64" s="61"/>
      <c r="U64" s="61"/>
      <c r="V64" s="61"/>
      <c r="W64" s="61"/>
      <c r="X64" s="61"/>
      <c r="Y64" s="61"/>
      <c r="Z64" s="61"/>
      <c r="AA64" s="61"/>
    </row>
    <row r="65" spans="1:27" ht="15.75" thickBot="1">
      <c r="A65" s="39"/>
      <c r="B65" s="39" t="str">
        <f>IF(Бланк!G6="Микро-Термо разрыв",CONCATENATE(Бланк!M2,"вн."),CONCATENATE(Бланк!M2,Бланк!G6,"вн."))</f>
        <v>О_0вн.</v>
      </c>
      <c r="C65" s="40"/>
      <c r="D65" s="39" t="str">
        <f>IF(Бланк!G22="Микро-Термо разрыв",CONCATENATE(Бланк!M18,"вн."),CONCATENATE(Бланк!M18,Бланк!G22,"вн."))</f>
        <v>М_1вн.</v>
      </c>
      <c r="E65" s="39"/>
      <c r="F65" s="39" t="str">
        <f>IF(Бланк!G38="Микро-термо разрыв",CONCATENATE(Бланк!M34,"вн."),CONCATENATE(Бланк!M34,Бланк!G38,"вн."))</f>
        <v>М_3вн.</v>
      </c>
      <c r="H65" s="43" t="s">
        <v>96</v>
      </c>
      <c r="I65" s="31"/>
      <c r="P65" s="153"/>
      <c r="S65" s="39"/>
      <c r="T65" s="39"/>
      <c r="U65" s="39"/>
      <c r="V65" s="39"/>
      <c r="W65" s="39"/>
      <c r="X65" s="39"/>
      <c r="Y65" s="39"/>
      <c r="Z65" s="39"/>
      <c r="AA65" s="39"/>
    </row>
    <row r="66" spans="1:27" ht="15.75" thickBot="1">
      <c r="A66" s="39"/>
      <c r="B66" s="36" t="str">
        <f>IF(OR(Бланк!M2="М_3",Бланк!M2="О_2"),"ПКТ",IF(Бланк!M2="М_2","МПКТ","МТР"))</f>
        <v>МТР</v>
      </c>
      <c r="C66" s="40"/>
      <c r="D66" s="36" t="str">
        <f>IF(OR(Бланк!M18="М_3",Бланк!M18="О_2"),"ПКТ",IF(Бланк!M18="М_2","МПКТ","МТР"))</f>
        <v>МТР</v>
      </c>
      <c r="F66" s="36" t="str">
        <f>IF(OR(Бланк!M34="М_3",Бланк!M34="О_2"),"ПКТ",IF(Бланк!M34="М_2","МПКТ","МТР"))</f>
        <v>ПКТ</v>
      </c>
      <c r="G66" s="40"/>
      <c r="H66" s="555"/>
      <c r="I66" s="28"/>
      <c r="S66" s="39"/>
      <c r="T66" s="39"/>
      <c r="U66" s="39"/>
      <c r="V66" s="39"/>
      <c r="W66" s="39"/>
      <c r="X66" s="39"/>
      <c r="Y66" s="39"/>
      <c r="Z66" s="39"/>
      <c r="AA66" s="39"/>
    </row>
    <row r="67" spans="1:27" ht="15.75" thickBot="1">
      <c r="A67" s="39"/>
      <c r="B67"/>
      <c r="C67" s="40"/>
      <c r="D67"/>
      <c r="J67" s="39"/>
      <c r="K67" s="153"/>
      <c r="L67" s="153"/>
      <c r="M67" s="153"/>
      <c r="N67" s="153"/>
      <c r="O67" s="153"/>
    </row>
    <row r="68" spans="1:27" ht="15.75" thickBot="1">
      <c r="A68" s="76" t="s">
        <v>420</v>
      </c>
      <c r="B68" s="76" t="s">
        <v>421</v>
      </c>
      <c r="C68" s="76" t="s">
        <v>422</v>
      </c>
      <c r="D68" s="76" t="s">
        <v>423</v>
      </c>
      <c r="E68" s="76" t="s">
        <v>424</v>
      </c>
      <c r="F68" s="76" t="s">
        <v>425</v>
      </c>
      <c r="G68" s="115" t="s">
        <v>418</v>
      </c>
      <c r="J68" s="39"/>
      <c r="K68" s="153"/>
      <c r="L68" s="153"/>
      <c r="M68" s="153"/>
      <c r="N68" s="153"/>
      <c r="O68" s="153"/>
    </row>
    <row r="69" spans="1:27">
      <c r="A69" t="str">
        <f>База!C24</f>
        <v>МДФ_10 лам.</v>
      </c>
      <c r="B69" s="39" t="str">
        <f>A69</f>
        <v>МДФ_10 лам.</v>
      </c>
      <c r="C69" s="42" t="s">
        <v>6</v>
      </c>
      <c r="D69" s="39" t="str">
        <f>A69</f>
        <v>МДФ_10 лам.</v>
      </c>
      <c r="E69" t="str">
        <f>B69</f>
        <v>МДФ_10 лам.</v>
      </c>
      <c r="F69" s="42" t="s">
        <v>6</v>
      </c>
      <c r="G69" s="42" t="s">
        <v>6</v>
      </c>
      <c r="H69" s="152" t="s">
        <v>441</v>
      </c>
      <c r="J69" s="39"/>
      <c r="K69" s="153"/>
      <c r="L69" s="153"/>
      <c r="M69" s="153"/>
      <c r="N69" s="153"/>
      <c r="O69" s="153"/>
    </row>
    <row r="70" spans="1:27" ht="15.75" thickBot="1">
      <c r="A70" s="42" t="s">
        <v>101</v>
      </c>
      <c r="B70" s="42" t="s">
        <v>101</v>
      </c>
      <c r="C70" s="42" t="s">
        <v>891</v>
      </c>
      <c r="D70" s="42" t="s">
        <v>101</v>
      </c>
      <c r="E70" s="42" t="s">
        <v>101</v>
      </c>
      <c r="F70" s="42" t="s">
        <v>677</v>
      </c>
      <c r="G70" s="53" t="s">
        <v>677</v>
      </c>
      <c r="H70" s="42" t="s">
        <v>442</v>
      </c>
      <c r="J70" s="39"/>
      <c r="K70" s="153"/>
      <c r="L70" s="153"/>
      <c r="M70" s="153"/>
      <c r="N70" s="153"/>
      <c r="O70" s="153"/>
      <c r="S70" s="44" t="s">
        <v>1013</v>
      </c>
    </row>
    <row r="71" spans="1:27" ht="15.75" thickBot="1">
      <c r="A71" s="42" t="s">
        <v>344</v>
      </c>
      <c r="B71" s="42" t="s">
        <v>344</v>
      </c>
      <c r="C71" s="129" t="s">
        <v>70</v>
      </c>
      <c r="D71" s="42" t="s">
        <v>344</v>
      </c>
      <c r="E71" s="42" t="s">
        <v>344</v>
      </c>
      <c r="F71" s="42" t="s">
        <v>891</v>
      </c>
      <c r="G71"/>
      <c r="H71" s="42" t="s">
        <v>6</v>
      </c>
      <c r="K71" s="153"/>
      <c r="L71" s="153"/>
      <c r="M71" s="153"/>
      <c r="N71" s="153"/>
      <c r="O71" s="153"/>
      <c r="S71" s="35"/>
      <c r="T71" s="38" t="str">
        <f>Бланк!M2</f>
        <v>О_0</v>
      </c>
      <c r="U71" s="36">
        <f>IF(Бланк!M2="Индивид.",0,MATCH(T71,Таблица19[#Headers],0))</f>
        <v>2</v>
      </c>
      <c r="V71" s="38" t="str">
        <f>Бланк!M18</f>
        <v>М_1</v>
      </c>
      <c r="W71" s="36">
        <f>MATCH(V71,Таблица19[#Headers],0)</f>
        <v>6</v>
      </c>
      <c r="X71" s="38" t="str">
        <f>Бланк!M34</f>
        <v>М_3</v>
      </c>
      <c r="Y71" s="36">
        <f>MATCH(X71,Таблица19[#Headers],0)</f>
        <v>8</v>
      </c>
      <c r="Z71" s="39"/>
    </row>
    <row r="72" spans="1:27" ht="15.75" thickBot="1">
      <c r="A72" s="42" t="s">
        <v>427</v>
      </c>
      <c r="B72" s="42" t="s">
        <v>427</v>
      </c>
      <c r="D72" s="42" t="s">
        <v>427</v>
      </c>
      <c r="E72" s="42" t="s">
        <v>427</v>
      </c>
      <c r="F72" s="129" t="s">
        <v>70</v>
      </c>
      <c r="G72" s="153"/>
      <c r="H72" s="53" t="s">
        <v>677</v>
      </c>
      <c r="K72" s="153"/>
      <c r="L72" s="153"/>
      <c r="M72" s="153"/>
      <c r="N72" s="153"/>
      <c r="O72" s="153"/>
      <c r="S72" s="526" t="s">
        <v>1010</v>
      </c>
      <c r="T72" s="99"/>
      <c r="U72" s="31"/>
      <c r="V72" s="32"/>
      <c r="W72" s="31"/>
      <c r="X72" s="32"/>
      <c r="Y72" s="31"/>
    </row>
    <row r="73" spans="1:27" ht="13.5" customHeight="1" thickBot="1">
      <c r="A73" s="129" t="s">
        <v>70</v>
      </c>
      <c r="B73" s="42" t="s">
        <v>6</v>
      </c>
      <c r="D73" s="129" t="s">
        <v>70</v>
      </c>
      <c r="E73" s="42" t="s">
        <v>6</v>
      </c>
      <c r="F73" s="40"/>
      <c r="G73" s="40"/>
      <c r="H73" s="40"/>
      <c r="I73" s="40"/>
      <c r="K73" s="153"/>
      <c r="L73" s="153"/>
      <c r="M73" s="153"/>
      <c r="N73" s="153"/>
      <c r="O73" s="153"/>
      <c r="S73" s="32" t="s">
        <v>1006</v>
      </c>
      <c r="T73" s="32" t="str">
        <f>IF(T72="да","",Бланк!F9)</f>
        <v>_металл</v>
      </c>
      <c r="U73" s="31" t="str">
        <f>IF(OR(T72="да",Бланк!E12="окраска"),"",IF(OR(Бланк!F11=Цена!C90,Бланк!F11="_МДФ"),"МДФ",Бланк!F11))</f>
        <v>МДФ_10 лам.</v>
      </c>
      <c r="V73" s="32" t="str">
        <f>IF(V72="да","",Бланк!F25)</f>
        <v>металл</v>
      </c>
      <c r="W73" s="31" t="str">
        <f>IF(OR(V72="да",Бланк!E28="окраска"),"",IF(OR(Бланк!F27="_МДФ",Бланк!F27=Цена!C90),"МДФ",Бланк!F27))</f>
        <v>МДФ_10 лам.</v>
      </c>
      <c r="X73" s="32" t="str">
        <f>IF(X72="да","",Бланк!F41)</f>
        <v>МДФ</v>
      </c>
      <c r="Y73" s="31" t="str">
        <f>IF(OR(X72="да",Бланк!E44="окраска"),"",IF(OR(Бланк!F43="_МДФ",Бланк!F43=Цена!C90),"МДФ",Бланк!F43))</f>
        <v>МДФ</v>
      </c>
    </row>
    <row r="74" spans="1:27" ht="15.75" thickBot="1">
      <c r="A74" s="129"/>
      <c r="B74" s="129" t="s">
        <v>70</v>
      </c>
      <c r="D74" s="129"/>
      <c r="E74" s="42" t="s">
        <v>677</v>
      </c>
      <c r="F74" s="40"/>
      <c r="G74" s="40"/>
      <c r="K74" s="153"/>
      <c r="L74" s="153"/>
      <c r="M74" s="153"/>
      <c r="N74" s="153"/>
      <c r="O74" s="153"/>
      <c r="S74" s="32" t="s">
        <v>1003</v>
      </c>
      <c r="T74" s="32" t="str">
        <f>IF(T73="","",IF(OR(Бланк!I9=Цена!T61,Бланк!I9=Цена!T65,Бланк!I9=Цена!T67),"Влаго",""))</f>
        <v/>
      </c>
      <c r="U74" s="31" t="str">
        <f>IF(U73="","",IF(OR(Бланк!I11=Цена!T61,Бланк!I11=Цена!T65,Бланк!I11=Цена!T67),"Влаго",""))</f>
        <v/>
      </c>
      <c r="V74" s="32" t="str">
        <f>IF(V73="","",IF(OR(Бланк!I25=Цена!T61,Бланк!I25=Цена!T65,Бланк!I25=Цена!T67),"Влаго",""))</f>
        <v/>
      </c>
      <c r="W74" s="31" t="str">
        <f>IF(W73="","",IF(OR(Бланк!I27=Цена!T61,Бланк!I27=Цена!T65,Бланк!I27=Цена!T67),"Влаго",""))</f>
        <v/>
      </c>
      <c r="X74" s="32" t="str">
        <f>IF(X73="","",IF(OR(Бланк!I41=Цена!T61,Бланк!I41=Цена!T65,Бланк!I41=Цена!T67),"Влаго",""))</f>
        <v/>
      </c>
      <c r="Y74" s="31" t="str">
        <f>IF(Y73="","",IF(OR(Бланк!I43=Цена!T61,Бланк!I43=Цена!T65,Бланк!I43=Цена!T67),"Влаго",""))</f>
        <v/>
      </c>
    </row>
    <row r="75" spans="1:27" ht="15.75" thickBot="1">
      <c r="A75" s="40"/>
      <c r="B75" s="129"/>
      <c r="E75" s="129" t="s">
        <v>70</v>
      </c>
      <c r="H75" s="39"/>
      <c r="I75" s="39"/>
      <c r="K75" s="153"/>
      <c r="L75" s="153"/>
      <c r="M75" s="153"/>
      <c r="N75" s="153"/>
      <c r="O75" s="153"/>
      <c r="S75" s="526" t="s">
        <v>1001</v>
      </c>
      <c r="T75" s="99">
        <f>IF(дверь!A24="",IF(AND(2129&lt;Бланк!X3,Бланк!X3&lt;2149.1),2130,IF(Бланк!X3&gt;2149,2150,0)),0)</f>
        <v>0</v>
      </c>
      <c r="U75" s="31"/>
      <c r="V75" s="32">
        <f>IF(дверь!B24="",IF(AND(2129&lt;Бланк!X19,Бланк!X19&lt;2149.1),2130,IF(Бланк!X19&gt;2149,2150,0)),0)</f>
        <v>0</v>
      </c>
      <c r="W75" s="31"/>
      <c r="X75" s="32">
        <f>IF(дверь!C24="",IF(AND(2129&lt;Бланк!X35,Бланк!X35&lt;2149.1),2130,IF(Бланк!X35&gt;2149,2150,0)),0)</f>
        <v>0</v>
      </c>
      <c r="Y75" s="31"/>
    </row>
    <row r="76" spans="1:27" ht="15.75" thickBot="1">
      <c r="A76" s="39"/>
      <c r="B76"/>
      <c r="C76" s="39"/>
      <c r="E76" s="129"/>
      <c r="H76" s="39"/>
      <c r="I76" s="39"/>
      <c r="K76" s="153"/>
      <c r="L76" s="153"/>
      <c r="M76" s="153"/>
      <c r="N76" s="153"/>
      <c r="O76" s="153"/>
      <c r="S76" s="530" t="s">
        <v>1004</v>
      </c>
      <c r="T76" s="532">
        <f>IF(T75=0,0,CONCATENATE(T75,T73,T74))</f>
        <v>0</v>
      </c>
      <c r="U76" s="124"/>
      <c r="V76" s="532">
        <f>IF(V75=0,0,CONCATENATE(V75,V73,V74))</f>
        <v>0</v>
      </c>
      <c r="W76" s="43"/>
      <c r="X76" s="532">
        <f>IF(X75=0,0,CONCATENATE(X75,X73,X74))</f>
        <v>0</v>
      </c>
      <c r="Y76" s="43"/>
    </row>
    <row r="77" spans="1:27" ht="15.75" thickBot="1">
      <c r="H77" s="39"/>
      <c r="I77" s="39"/>
      <c r="K77" s="153"/>
      <c r="L77" s="153"/>
      <c r="M77" s="153"/>
      <c r="N77" s="153"/>
      <c r="O77" s="153"/>
      <c r="S77" s="529" t="s">
        <v>1005</v>
      </c>
      <c r="T77" s="531"/>
      <c r="U77" s="531">
        <f>IF(T75=0,0,CONCATENATE(T75,U73,U74))</f>
        <v>0</v>
      </c>
      <c r="V77" s="43"/>
      <c r="W77" s="531">
        <f>IF(V75=0,0,CONCATENATE(V75,W73,W74))</f>
        <v>0</v>
      </c>
      <c r="X77" s="43"/>
      <c r="Y77" s="531">
        <f>IF(X75=0,0,CONCATENATE(X75,Y73,Y74))</f>
        <v>0</v>
      </c>
      <c r="Z77" s="39"/>
      <c r="AA77" s="39"/>
    </row>
    <row r="78" spans="1:27" ht="15.75" thickBot="1">
      <c r="A78" s="35"/>
      <c r="B78" s="76" t="s">
        <v>920</v>
      </c>
      <c r="C78" s="34"/>
      <c r="D78" s="76" t="s">
        <v>920</v>
      </c>
      <c r="E78" s="34"/>
      <c r="F78" s="76" t="s">
        <v>920</v>
      </c>
      <c r="G78" s="40"/>
      <c r="H78" s="39"/>
      <c r="I78" s="39"/>
      <c r="K78" s="153"/>
      <c r="L78" s="153"/>
      <c r="M78" s="153"/>
      <c r="N78" s="153"/>
      <c r="O78" s="153"/>
      <c r="S78" s="187" t="s">
        <v>1008</v>
      </c>
      <c r="T78" s="153">
        <f>IF(Бланк!M2="Индивид.",0,VLOOKUP(T76,Таблица19[#All],U71,0))</f>
        <v>0</v>
      </c>
      <c r="U78" s="153"/>
      <c r="V78" s="153">
        <f>VLOOKUP(V76,Таблица19[#All],W71,0)</f>
        <v>0</v>
      </c>
      <c r="W78" s="153"/>
      <c r="X78" s="153">
        <f>VLOOKUP(X76,Таблица19[#All],Y71,0)</f>
        <v>0</v>
      </c>
      <c r="Y78" s="153"/>
      <c r="AA78" s="39"/>
    </row>
    <row r="79" spans="1:27" ht="15.75" thickBot="1">
      <c r="A79" s="471" t="s">
        <v>922</v>
      </c>
      <c r="B79" s="472">
        <f>IF(AND(Бланк!G6="ПКТ",OR(Бланк!M4=B81,Бланк!M4=B82)),1/0,0)</f>
        <v>0</v>
      </c>
      <c r="C79" s="37"/>
      <c r="D79" s="472">
        <f>IF(AND(Бланк!G22="ПКТ",OR(Бланк!M20=B81,Бланк!M20=B82)),1/0,0)</f>
        <v>0</v>
      </c>
      <c r="E79" s="37"/>
      <c r="F79" s="472">
        <f>IF(AND(Бланк!G38="ПКТ",OR(Бланк!M36=B81,Бланк!M36=B82)),1/0,0)</f>
        <v>0</v>
      </c>
      <c r="G79" s="40"/>
      <c r="H79" s="39"/>
      <c r="I79" s="39"/>
      <c r="K79" s="153"/>
      <c r="L79" s="153"/>
      <c r="M79" s="153"/>
      <c r="N79" s="153"/>
      <c r="O79" s="153"/>
      <c r="S79" s="187" t="s">
        <v>1009</v>
      </c>
      <c r="T79" s="39"/>
      <c r="U79" s="153">
        <f>IF(Бланк!M2="Индивид.",0,VLOOKUP(U77,Таблица19[#All],U71,0))</f>
        <v>0</v>
      </c>
      <c r="V79" s="39"/>
      <c r="W79" s="153">
        <f>VLOOKUP(W77,Таблица19[#All],W71,0)</f>
        <v>0</v>
      </c>
      <c r="X79" s="39"/>
      <c r="Y79" s="153">
        <f>VLOOKUP(Y77,Таблица19[#All],Y71,0)</f>
        <v>0</v>
      </c>
      <c r="Z79" s="39"/>
      <c r="AA79" s="39"/>
    </row>
    <row r="80" spans="1:27">
      <c r="A80" s="32"/>
      <c r="B80" s="40"/>
      <c r="C80" s="40"/>
      <c r="D80" s="40"/>
      <c r="E80" s="40"/>
      <c r="F80" s="31"/>
      <c r="G80" s="40"/>
      <c r="H80" s="39"/>
      <c r="I80" s="39"/>
      <c r="R80" s="153" t="s">
        <v>1002</v>
      </c>
      <c r="S80" s="39"/>
      <c r="T80" s="39"/>
      <c r="U80" s="39"/>
      <c r="V80" s="39"/>
      <c r="W80" s="39"/>
      <c r="X80" s="39"/>
      <c r="Y80" s="39"/>
      <c r="Z80" s="39"/>
      <c r="AA80" s="39"/>
    </row>
    <row r="81" spans="1:27" ht="18.75">
      <c r="A81" s="32"/>
      <c r="B81" s="40" t="s">
        <v>16</v>
      </c>
      <c r="C81" s="40"/>
      <c r="D81" s="40"/>
      <c r="E81" s="40"/>
      <c r="F81" s="31"/>
      <c r="G81" s="40"/>
      <c r="R81" s="40"/>
      <c r="S81" s="527" t="s">
        <v>1007</v>
      </c>
      <c r="T81" s="39"/>
      <c r="U81" s="39"/>
      <c r="V81" s="39"/>
      <c r="W81" s="39"/>
      <c r="X81" s="39"/>
      <c r="Y81" s="39"/>
      <c r="Z81" s="39"/>
      <c r="AA81" s="39"/>
    </row>
    <row r="82" spans="1:27">
      <c r="A82" s="32"/>
      <c r="B82" s="40" t="s">
        <v>296</v>
      </c>
      <c r="C82" s="40"/>
      <c r="D82" s="40"/>
      <c r="E82" s="40"/>
      <c r="F82" s="31"/>
      <c r="G82" s="31"/>
      <c r="R82" s="153" t="s">
        <v>1002</v>
      </c>
      <c r="S82" s="525" t="s">
        <v>82</v>
      </c>
      <c r="T82" s="333" t="s">
        <v>412</v>
      </c>
      <c r="U82" s="333" t="s">
        <v>413</v>
      </c>
      <c r="V82" s="524" t="s">
        <v>414</v>
      </c>
      <c r="W82" s="524" t="s">
        <v>415</v>
      </c>
      <c r="X82" s="524" t="s">
        <v>416</v>
      </c>
      <c r="Y82" s="524" t="s">
        <v>417</v>
      </c>
      <c r="Z82" s="524" t="s">
        <v>418</v>
      </c>
      <c r="AA82" s="39"/>
    </row>
    <row r="83" spans="1:27" ht="15.75" thickBot="1">
      <c r="A83" s="30"/>
      <c r="B83" s="29" t="s">
        <v>64</v>
      </c>
      <c r="C83" s="29"/>
      <c r="D83" s="29"/>
      <c r="E83" s="29"/>
      <c r="F83" s="28"/>
      <c r="G83" s="31"/>
      <c r="S83" s="39"/>
      <c r="T83" s="39"/>
      <c r="U83" s="39"/>
      <c r="V83" s="39"/>
      <c r="W83" s="39"/>
      <c r="X83" s="39"/>
      <c r="Y83" s="39"/>
      <c r="Z83" s="39"/>
    </row>
    <row r="84" spans="1:27" ht="15.75" thickBot="1">
      <c r="S84" s="39" t="s">
        <v>1100</v>
      </c>
      <c r="T84" s="39"/>
      <c r="V84" s="528">
        <f>U85</f>
        <v>12</v>
      </c>
      <c r="W84" s="39"/>
      <c r="X84" s="39"/>
      <c r="Y84" s="39"/>
      <c r="Z84" s="39">
        <v>12</v>
      </c>
    </row>
    <row r="85" spans="1:27">
      <c r="A85" s="115" t="s">
        <v>426</v>
      </c>
      <c r="B85" s="76" t="s">
        <v>919</v>
      </c>
      <c r="C85" s="76" t="s">
        <v>918</v>
      </c>
      <c r="D85" s="33" t="s">
        <v>936</v>
      </c>
      <c r="E85" s="40"/>
      <c r="R85" s="40"/>
      <c r="S85" s="39" t="s">
        <v>1113</v>
      </c>
      <c r="T85" s="39"/>
      <c r="U85" s="44">
        <v>12</v>
      </c>
      <c r="V85" s="39">
        <f>V84</f>
        <v>12</v>
      </c>
      <c r="W85" s="39"/>
      <c r="X85" s="39">
        <f>Таблица19[[#This Row],[О_1]]</f>
        <v>12</v>
      </c>
      <c r="Y85" s="39">
        <f>Таблица19[[#This Row],[О_2]]</f>
        <v>12</v>
      </c>
      <c r="Z85" s="39">
        <v>12</v>
      </c>
    </row>
    <row r="86" spans="1:27">
      <c r="A86" s="42" t="s">
        <v>6</v>
      </c>
      <c r="B86" s="42" t="s">
        <v>891</v>
      </c>
      <c r="C86" s="42" t="s">
        <v>891</v>
      </c>
      <c r="D86" s="31" t="s">
        <v>6</v>
      </c>
      <c r="E86" s="40"/>
      <c r="R86" s="40"/>
      <c r="S86" s="39" t="s">
        <v>1101</v>
      </c>
      <c r="V86" s="528">
        <f>U87</f>
        <v>14</v>
      </c>
      <c r="X86" s="39"/>
      <c r="Y86" s="39"/>
      <c r="Z86" s="39">
        <f>Таблица19[[#This Row],[О_2]]</f>
        <v>14</v>
      </c>
    </row>
    <row r="87" spans="1:27" ht="15.75" thickBot="1">
      <c r="A87" s="42" t="s">
        <v>677</v>
      </c>
      <c r="B87" s="53"/>
      <c r="C87" s="53"/>
      <c r="D87" s="28" t="s">
        <v>891</v>
      </c>
      <c r="E87" s="40"/>
      <c r="S87" t="s">
        <v>1102</v>
      </c>
      <c r="U87" s="44">
        <v>14</v>
      </c>
      <c r="V87">
        <f>Таблица19[[#This Row],[О_1]]</f>
        <v>14</v>
      </c>
      <c r="X87" s="39">
        <f>Таблица19[[#This Row],[О_1]]</f>
        <v>14</v>
      </c>
      <c r="Y87" s="39">
        <f>U87</f>
        <v>14</v>
      </c>
      <c r="Z87" s="39">
        <f>V87</f>
        <v>14</v>
      </c>
    </row>
    <row r="88" spans="1:27">
      <c r="A88" s="42" t="s">
        <v>891</v>
      </c>
      <c r="B88"/>
      <c r="C88" s="40"/>
      <c r="D88"/>
      <c r="E88" s="39"/>
      <c r="Q88" s="40"/>
      <c r="S88" s="40" t="s">
        <v>1103</v>
      </c>
      <c r="U88" s="40"/>
      <c r="V88" s="40"/>
      <c r="W88" s="40"/>
      <c r="X88" s="40"/>
      <c r="Y88" s="40"/>
      <c r="Z88" s="40"/>
    </row>
    <row r="89" spans="1:27" ht="15.75" thickBot="1">
      <c r="A89" s="129" t="s">
        <v>70</v>
      </c>
      <c r="B89"/>
      <c r="C89" s="40"/>
      <c r="D89"/>
      <c r="E89" s="39"/>
      <c r="H89" s="40"/>
      <c r="P89" s="40"/>
      <c r="Q89" s="40"/>
      <c r="S89" t="s">
        <v>1099</v>
      </c>
      <c r="T89" s="111">
        <v>10</v>
      </c>
      <c r="U89" s="40">
        <f t="shared" ref="U89:Z89" si="11">$T$89</f>
        <v>10</v>
      </c>
      <c r="V89" s="40">
        <f t="shared" si="11"/>
        <v>10</v>
      </c>
      <c r="W89" s="40">
        <f t="shared" si="11"/>
        <v>10</v>
      </c>
      <c r="X89" s="40">
        <f t="shared" si="11"/>
        <v>10</v>
      </c>
      <c r="Y89" s="40">
        <f t="shared" si="11"/>
        <v>10</v>
      </c>
      <c r="Z89" s="40">
        <f t="shared" si="11"/>
        <v>10</v>
      </c>
    </row>
    <row r="90" spans="1:27">
      <c r="P90" s="40"/>
      <c r="Q90" s="40"/>
      <c r="S90" t="s">
        <v>1104</v>
      </c>
    </row>
    <row r="91" spans="1:27">
      <c r="P91" s="40"/>
      <c r="S91" s="39" t="s">
        <v>1105</v>
      </c>
      <c r="T91" s="40"/>
    </row>
    <row r="92" spans="1:27">
      <c r="S92" s="39" t="s">
        <v>1097</v>
      </c>
    </row>
    <row r="93" spans="1:27">
      <c r="J93" s="40"/>
      <c r="Q93" s="40"/>
      <c r="S93" s="39" t="s">
        <v>1098</v>
      </c>
    </row>
    <row r="94" spans="1:27" s="39" customFormat="1">
      <c r="J94" s="40"/>
      <c r="Q94" s="40"/>
      <c r="S94" s="39" t="s">
        <v>1607</v>
      </c>
      <c r="T94" s="39">
        <f>T89</f>
        <v>10</v>
      </c>
      <c r="U94" s="39">
        <f t="shared" ref="U94:Z94" si="12">U89</f>
        <v>10</v>
      </c>
      <c r="V94" s="39">
        <f t="shared" si="12"/>
        <v>10</v>
      </c>
      <c r="W94" s="39">
        <f t="shared" si="12"/>
        <v>10</v>
      </c>
      <c r="X94" s="39">
        <f t="shared" si="12"/>
        <v>10</v>
      </c>
      <c r="Y94" s="39">
        <f t="shared" si="12"/>
        <v>10</v>
      </c>
      <c r="Z94" s="39">
        <f t="shared" si="12"/>
        <v>10</v>
      </c>
    </row>
    <row r="95" spans="1:27">
      <c r="P95" s="40"/>
      <c r="Q95" s="40"/>
      <c r="S95" t="s">
        <v>1106</v>
      </c>
      <c r="T95" s="40"/>
      <c r="U95" s="40"/>
    </row>
    <row r="96" spans="1:27">
      <c r="J96" s="39"/>
      <c r="K96" s="39"/>
      <c r="P96" s="40"/>
      <c r="S96" s="39" t="s">
        <v>1107</v>
      </c>
    </row>
    <row r="97" spans="10:26">
      <c r="J97" s="39"/>
      <c r="K97" s="39"/>
      <c r="S97" s="39" t="s">
        <v>1108</v>
      </c>
    </row>
    <row r="98" spans="10:26">
      <c r="J98" s="39"/>
      <c r="K98" s="39"/>
      <c r="S98" s="39" t="s">
        <v>1109</v>
      </c>
    </row>
    <row r="99" spans="10:26">
      <c r="J99" s="39"/>
      <c r="K99" s="39"/>
      <c r="S99" s="626" t="s">
        <v>1118</v>
      </c>
    </row>
    <row r="100" spans="10:26">
      <c r="J100" s="39"/>
      <c r="K100" s="39"/>
      <c r="S100" s="626">
        <v>2170</v>
      </c>
    </row>
    <row r="101" spans="10:26">
      <c r="J101" s="39"/>
      <c r="K101" s="39"/>
      <c r="S101" s="39" t="s">
        <v>1110</v>
      </c>
    </row>
    <row r="102" spans="10:26">
      <c r="S102" s="39" t="s">
        <v>1111</v>
      </c>
    </row>
    <row r="103" spans="10:26">
      <c r="S103" s="39" t="s">
        <v>1112</v>
      </c>
    </row>
    <row r="104" spans="10:26">
      <c r="M104" s="40"/>
      <c r="N104" s="40"/>
      <c r="O104" s="40"/>
      <c r="S104" s="39" t="s">
        <v>1114</v>
      </c>
    </row>
    <row r="105" spans="10:26">
      <c r="M105" s="40"/>
      <c r="N105" s="40"/>
      <c r="O105" s="40"/>
      <c r="S105" s="39" t="s">
        <v>1109</v>
      </c>
    </row>
    <row r="106" spans="10:26">
      <c r="M106" s="40"/>
      <c r="N106" s="40"/>
      <c r="O106" s="40"/>
      <c r="S106" s="39" t="s">
        <v>1115</v>
      </c>
      <c r="T106" s="40"/>
      <c r="U106" s="40"/>
      <c r="V106" s="40"/>
      <c r="W106" s="40"/>
      <c r="X106" s="40"/>
      <c r="Y106" s="40"/>
      <c r="Z106" s="40"/>
    </row>
    <row r="107" spans="10:26">
      <c r="S107" s="39" t="s">
        <v>1116</v>
      </c>
    </row>
    <row r="108" spans="10:26">
      <c r="S108" s="39" t="s">
        <v>1108</v>
      </c>
      <c r="T108" s="39"/>
      <c r="U108" s="39"/>
      <c r="V108" s="39"/>
      <c r="W108" s="39"/>
      <c r="X108" s="39"/>
      <c r="Y108" s="39"/>
      <c r="Z108" s="39"/>
    </row>
    <row r="109" spans="10:26">
      <c r="J109" s="40"/>
      <c r="K109" s="40"/>
      <c r="L109" s="40"/>
      <c r="M109" s="40"/>
      <c r="N109" s="40"/>
      <c r="O109" s="40"/>
      <c r="S109" s="39" t="s">
        <v>1119</v>
      </c>
      <c r="T109" s="39"/>
      <c r="U109" s="39"/>
      <c r="V109" s="39"/>
      <c r="W109" s="39"/>
      <c r="X109" s="39"/>
      <c r="Y109" s="39"/>
      <c r="Z109" s="39"/>
    </row>
    <row r="110" spans="10:26" s="39" customFormat="1">
      <c r="J110" s="40"/>
      <c r="K110" s="40"/>
      <c r="L110" s="40"/>
      <c r="M110" s="40"/>
      <c r="N110" s="40"/>
      <c r="O110" s="40"/>
      <c r="S110" s="39" t="s">
        <v>1606</v>
      </c>
      <c r="T110" s="39">
        <f>T89</f>
        <v>10</v>
      </c>
      <c r="U110" s="39">
        <f t="shared" ref="U110:Z110" si="13">U89</f>
        <v>10</v>
      </c>
      <c r="V110" s="39">
        <f t="shared" si="13"/>
        <v>10</v>
      </c>
      <c r="W110" s="39">
        <f t="shared" si="13"/>
        <v>10</v>
      </c>
      <c r="X110" s="39">
        <f t="shared" si="13"/>
        <v>10</v>
      </c>
      <c r="Y110" s="39">
        <f t="shared" si="13"/>
        <v>10</v>
      </c>
      <c r="Z110" s="39">
        <f t="shared" si="13"/>
        <v>10</v>
      </c>
    </row>
    <row r="111" spans="10:26">
      <c r="J111" s="40"/>
      <c r="K111" s="40"/>
      <c r="L111" s="40"/>
      <c r="M111" s="40"/>
      <c r="N111" s="40"/>
      <c r="O111" s="40"/>
      <c r="S111" s="39">
        <v>0</v>
      </c>
    </row>
    <row r="1883" spans="8:8">
      <c r="H1883">
        <v>720</v>
      </c>
    </row>
  </sheetData>
  <mergeCells count="1">
    <mergeCell ref="G4:G5"/>
  </mergeCells>
  <pageMargins left="0.7" right="0.7" top="0.75" bottom="0.75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topLeftCell="A73" workbookViewId="0">
      <selection activeCell="K102" sqref="K102"/>
    </sheetView>
  </sheetViews>
  <sheetFormatPr defaultRowHeight="15"/>
  <cols>
    <col min="1" max="1" width="18.7109375" bestFit="1" customWidth="1"/>
    <col min="2" max="2" width="25.85546875" customWidth="1"/>
    <col min="3" max="7" width="11.85546875" customWidth="1"/>
    <col min="8" max="9" width="8.42578125" customWidth="1"/>
    <col min="10" max="10" width="6.5703125" customWidth="1"/>
    <col min="11" max="11" width="5.42578125" customWidth="1"/>
    <col min="12" max="12" width="14.7109375" customWidth="1"/>
    <col min="13" max="13" width="9.140625" customWidth="1"/>
    <col min="14" max="14" width="8.42578125" customWidth="1"/>
    <col min="15" max="15" width="11.7109375" style="39" customWidth="1"/>
    <col min="16" max="16" width="11.7109375" customWidth="1"/>
    <col min="17" max="18" width="11.85546875" customWidth="1"/>
  </cols>
  <sheetData>
    <row r="1" spans="1:12" s="39" customFormat="1">
      <c r="B1" s="39" t="str">
        <f>CONCATENATE(Бланк!M1,"-",Бланк!N1)</f>
        <v>1-ЖЖ</v>
      </c>
      <c r="D1" s="39" t="str">
        <f>CONCATENATE(Бланк!M17,"-",Бланк!N17)</f>
        <v>2-ЖЖ</v>
      </c>
      <c r="F1" s="39" t="str">
        <f>CONCATENATE(Бланк!M33,"-",Бланк!N33)</f>
        <v>3-ЖЖ</v>
      </c>
    </row>
    <row r="2" spans="1:12" s="39" customFormat="1">
      <c r="B2" s="39" t="str">
        <f>IF(Бланк!G11=B16,B16,IF(AND(Бланк!S2="",Бланк!G6=""),$B$8,CONCATENATE(Бланк!S2,Бланк!G6,Бланк!F9)))</f>
        <v>Стандарт</v>
      </c>
      <c r="D2" s="39" t="str">
        <f>IF(Бланк!G27=B16,B16,IF(AND(Бланк!S18="",Бланк!G22=""),$B$8,CONCATENATE(Бланк!S18,Бланк!G22,Бланк!F25)))</f>
        <v>Стандарт</v>
      </c>
      <c r="F2" s="39" t="str">
        <f>IF(Бланк!G43=B16,B16,IF(AND(Бланк!S34="",Бланк!G38=""),$B$8,CONCATENATE(Бланк!S34,Бланк!G38,Бланк!F41)))</f>
        <v>Стандарт</v>
      </c>
    </row>
    <row r="3" spans="1:12" s="39" customFormat="1" ht="12.75" customHeight="1">
      <c r="A3" s="347"/>
      <c r="B3" s="39" t="str">
        <f>IF(AND(OR(Бланк!G6="ПКТ",Бланк!S2="3-х конт.",Бланк!G11="МДФ_без_молд"),Бланк!F9="МДФ",Бланк!S6="Авт.Crit"),"Авт.Crit","")</f>
        <v/>
      </c>
      <c r="D3" s="39" t="str">
        <f>IF(AND(OR(Бланк!G22="ПКТ",Бланк!S18="3-х конт.",Бланк!G27="МДФ_без_молд"),Бланк!F25="МДФ",Бланк!S22="Авт.Crit"),"Авт.Crit","")</f>
        <v/>
      </c>
      <c r="F3" s="39" t="str">
        <f>IF(AND(OR(Бланк!G38="ПКТ",Бланк!S34="3-х конт.",Бланк!G43="МДФ_без_молд"),Бланк!F41="МДФ",Бланк!S38="Авт.Crit"),"Авт.Crit","")</f>
        <v/>
      </c>
    </row>
    <row r="4" spans="1:12" s="39" customFormat="1">
      <c r="A4" s="336" t="s">
        <v>728</v>
      </c>
      <c r="B4" s="39">
        <f>IF(B3="",MATCH(B2,$B$8:$B$23,0)+1,MATCH(B3,$B$8:$B$23,0)+1)</f>
        <v>2</v>
      </c>
      <c r="D4" s="39">
        <f>IF(D3="",MATCH(D2,$B$8:$B$23,0)+1,MATCH(D3,$B$8:$B$23,0)+1)</f>
        <v>2</v>
      </c>
      <c r="F4" s="39">
        <f>IF(F3="",MATCH(F2,$B$8:$B$23,0)+1,MATCH(F3,$B$8:$B$23,0)+1)</f>
        <v>2</v>
      </c>
    </row>
    <row r="5" spans="1:12" s="39" customFormat="1" ht="18.75">
      <c r="A5" s="39" t="s">
        <v>726</v>
      </c>
      <c r="B5" s="39">
        <f>IFERROR(HLOOKUP(Бланк!M2,Таблица5[],B4,0),0)</f>
        <v>0</v>
      </c>
      <c r="D5" s="39" t="str">
        <f>IFERROR(HLOOKUP(Бланк!M18,Таблица5[],D4,0),0)</f>
        <v>Верх_2</v>
      </c>
      <c r="F5" s="39" t="str">
        <f>IFERROR(HLOOKUP(Бланк!M34,Таблица5[],F4,0),0)</f>
        <v>Верх_4</v>
      </c>
      <c r="H5" s="930" t="s">
        <v>733</v>
      </c>
      <c r="I5" s="930"/>
    </row>
    <row r="6" spans="1:12">
      <c r="A6" s="39" t="s">
        <v>727</v>
      </c>
      <c r="B6" s="39" t="s">
        <v>82</v>
      </c>
      <c r="C6" s="333" t="s">
        <v>440</v>
      </c>
      <c r="D6" s="333" t="s">
        <v>720</v>
      </c>
      <c r="E6" s="333" t="s">
        <v>721</v>
      </c>
      <c r="F6" s="333" t="s">
        <v>722</v>
      </c>
      <c r="G6" s="333" t="s">
        <v>723</v>
      </c>
      <c r="H6" s="333" t="s">
        <v>724</v>
      </c>
      <c r="I6" s="334" t="s">
        <v>725</v>
      </c>
      <c r="J6" s="352"/>
      <c r="K6" s="338"/>
      <c r="L6" s="61"/>
    </row>
    <row r="7" spans="1:12" s="39" customFormat="1">
      <c r="A7" s="39">
        <v>1</v>
      </c>
      <c r="B7"/>
      <c r="C7" s="333" t="s">
        <v>412</v>
      </c>
      <c r="D7" s="333" t="s">
        <v>413</v>
      </c>
      <c r="E7" s="333" t="s">
        <v>414</v>
      </c>
      <c r="F7" s="333" t="s">
        <v>415</v>
      </c>
      <c r="G7" s="333" t="s">
        <v>416</v>
      </c>
      <c r="H7" s="333" t="s">
        <v>417</v>
      </c>
      <c r="I7" s="334" t="s">
        <v>418</v>
      </c>
      <c r="J7" s="341"/>
      <c r="K7" s="341"/>
      <c r="L7" s="61"/>
    </row>
    <row r="8" spans="1:12" s="39" customFormat="1">
      <c r="A8" s="39">
        <f>A7+1</f>
        <v>2</v>
      </c>
      <c r="B8" s="39" t="s">
        <v>546</v>
      </c>
      <c r="C8" s="340">
        <v>0</v>
      </c>
      <c r="D8" s="340" t="str">
        <f>Таблица6[[#Headers],[Верх_0]]</f>
        <v>Верх_0</v>
      </c>
      <c r="E8" s="340" t="str">
        <f>Таблица6[[#Headers],[Верх_1]]</f>
        <v>Верх_1</v>
      </c>
      <c r="F8" s="39">
        <v>0</v>
      </c>
      <c r="G8" s="340" t="str">
        <f>Таблица6[[#Headers],[Верх_2]]</f>
        <v>Верх_2</v>
      </c>
      <c r="H8" s="340" t="str">
        <f>Таблица6[[#Headers],[Верх_2]]</f>
        <v>Верх_2</v>
      </c>
      <c r="I8" s="340" t="str">
        <f>Таблица6[[#Headers],[Верх_4]]</f>
        <v>Верх_4</v>
      </c>
      <c r="J8" s="61"/>
      <c r="K8" s="61"/>
      <c r="L8" s="61"/>
    </row>
    <row r="9" spans="1:12" s="39" customFormat="1">
      <c r="A9" s="39">
        <f t="shared" ref="A9:A22" si="0">A8+1</f>
        <v>3</v>
      </c>
      <c r="B9" s="39" t="s">
        <v>930</v>
      </c>
      <c r="C9" s="39">
        <v>0</v>
      </c>
      <c r="D9" s="39">
        <v>0</v>
      </c>
      <c r="E9" s="39">
        <v>0</v>
      </c>
      <c r="F9" s="39">
        <v>0</v>
      </c>
      <c r="G9" s="340" t="s">
        <v>868</v>
      </c>
      <c r="H9" s="340" t="s">
        <v>868</v>
      </c>
      <c r="I9" s="340"/>
      <c r="J9" s="338"/>
      <c r="K9" s="338"/>
      <c r="L9" s="61"/>
    </row>
    <row r="10" spans="1:12" s="39" customFormat="1">
      <c r="A10" s="39">
        <f t="shared" si="0"/>
        <v>4</v>
      </c>
      <c r="B10" s="339" t="s">
        <v>931</v>
      </c>
      <c r="C10" s="39">
        <v>0</v>
      </c>
      <c r="D10" s="39">
        <v>0</v>
      </c>
      <c r="E10" s="340"/>
      <c r="F10" s="39">
        <v>0</v>
      </c>
      <c r="G10" s="340" t="s">
        <v>868</v>
      </c>
      <c r="H10" s="340" t="str">
        <f>E22</f>
        <v>Верх_5</v>
      </c>
      <c r="I10" s="340"/>
      <c r="J10" s="338"/>
      <c r="K10" s="338"/>
      <c r="L10" s="61"/>
    </row>
    <row r="11" spans="1:12" s="39" customFormat="1">
      <c r="A11" s="39">
        <f t="shared" si="0"/>
        <v>5</v>
      </c>
      <c r="B11" s="39" t="s">
        <v>932</v>
      </c>
      <c r="E11" s="340"/>
      <c r="G11" s="340" t="s">
        <v>868</v>
      </c>
      <c r="H11" s="340" t="str">
        <f>E22</f>
        <v>Верх_5</v>
      </c>
      <c r="I11" s="340"/>
      <c r="J11" s="338"/>
      <c r="K11" s="338"/>
      <c r="L11" s="61"/>
    </row>
    <row r="12" spans="1:12" s="39" customFormat="1">
      <c r="A12" s="39">
        <f t="shared" si="0"/>
        <v>6</v>
      </c>
      <c r="B12" s="339" t="str">
        <f>CONCATENATE(B9,B10)</f>
        <v>3-х конт.металлПКТметалл</v>
      </c>
      <c r="C12" s="39">
        <v>0</v>
      </c>
      <c r="D12" s="39">
        <v>0</v>
      </c>
      <c r="E12" s="39">
        <v>0</v>
      </c>
      <c r="F12" s="39">
        <v>0</v>
      </c>
      <c r="G12" s="340" t="s">
        <v>868</v>
      </c>
      <c r="H12" s="340" t="str">
        <f>E22</f>
        <v>Верх_5</v>
      </c>
      <c r="I12" s="340"/>
      <c r="J12" s="338"/>
      <c r="K12" s="338"/>
      <c r="L12" s="61"/>
    </row>
    <row r="13" spans="1:12" s="39" customFormat="1">
      <c r="A13" s="39">
        <f t="shared" si="0"/>
        <v>7</v>
      </c>
      <c r="B13" s="339" t="s">
        <v>933</v>
      </c>
      <c r="C13" s="340">
        <v>0</v>
      </c>
      <c r="D13" s="340" t="str">
        <f>Таблица6[[#Headers],[Верх_0]]</f>
        <v>Верх_0</v>
      </c>
      <c r="E13" s="340" t="str">
        <f>Таблица6[[#Headers],[Верх_1]]</f>
        <v>Верх_1</v>
      </c>
      <c r="F13" s="340">
        <v>0</v>
      </c>
      <c r="G13" s="340" t="str">
        <f>Таблица6[[#Headers],[Верх_1]]</f>
        <v>Верх_1</v>
      </c>
      <c r="H13" s="340" t="str">
        <f>Таблица6[[#Headers],[Верх_2]]</f>
        <v>Верх_2</v>
      </c>
      <c r="I13" s="340"/>
      <c r="J13" s="338"/>
      <c r="K13" s="338"/>
      <c r="L13" s="61"/>
    </row>
    <row r="14" spans="1:12" s="39" customFormat="1">
      <c r="A14" s="39">
        <f t="shared" si="0"/>
        <v>8</v>
      </c>
      <c r="B14" s="39" t="s">
        <v>935</v>
      </c>
      <c r="C14" s="340"/>
      <c r="D14" s="340" t="str">
        <f>Таблица6[[#Headers],[Верх_0]]</f>
        <v>Верх_0</v>
      </c>
      <c r="E14" s="340" t="str">
        <f>Таблица6[[#Headers],[Верх_1]]</f>
        <v>Верх_1</v>
      </c>
      <c r="F14" s="340">
        <v>1</v>
      </c>
      <c r="G14" s="340" t="str">
        <f>Таблица6[[#Headers],[Верх_1]]</f>
        <v>Верх_1</v>
      </c>
      <c r="H14" s="340" t="str">
        <f>Таблица6[[#Headers],[Верх_2]]</f>
        <v>Верх_2</v>
      </c>
      <c r="I14" s="340"/>
      <c r="J14" s="338"/>
      <c r="K14" s="338"/>
      <c r="L14" s="61"/>
    </row>
    <row r="15" spans="1:12" s="39" customFormat="1">
      <c r="A15" s="39">
        <f t="shared" si="0"/>
        <v>9</v>
      </c>
      <c r="B15" s="339" t="s">
        <v>934</v>
      </c>
      <c r="C15" s="340"/>
      <c r="D15" s="340"/>
      <c r="E15" s="340"/>
      <c r="F15" s="340"/>
      <c r="G15" s="340"/>
      <c r="H15" s="340" t="s">
        <v>868</v>
      </c>
      <c r="I15" s="340"/>
      <c r="J15" s="338"/>
      <c r="K15" s="338"/>
      <c r="L15" s="61"/>
    </row>
    <row r="16" spans="1:12" s="39" customFormat="1">
      <c r="A16" s="39">
        <f t="shared" si="0"/>
        <v>10</v>
      </c>
      <c r="B16" s="339" t="s">
        <v>891</v>
      </c>
      <c r="C16" s="340"/>
      <c r="D16" s="340"/>
      <c r="E16" s="340" t="str">
        <f>E22</f>
        <v>Верх_5</v>
      </c>
      <c r="F16" s="340"/>
      <c r="G16" s="340"/>
      <c r="H16" s="340" t="str">
        <f>Таблица5[[#This Row],[Столбец4]]</f>
        <v>Верх_5</v>
      </c>
      <c r="I16" s="340" t="str">
        <f>Таблица5[[#This Row],[Столбец4]]</f>
        <v>Верх_5</v>
      </c>
      <c r="J16" s="338"/>
      <c r="K16" s="338"/>
      <c r="L16" s="61"/>
    </row>
    <row r="17" spans="1:19" s="39" customFormat="1">
      <c r="A17" s="39">
        <f t="shared" si="0"/>
        <v>11</v>
      </c>
      <c r="B17" s="339" t="s">
        <v>333</v>
      </c>
      <c r="C17" s="340"/>
      <c r="D17" s="340"/>
      <c r="E17" s="340" t="s">
        <v>868</v>
      </c>
      <c r="F17" s="340"/>
      <c r="G17" s="340"/>
      <c r="H17" s="340" t="str">
        <f>Таблица5[[#This Row],[Столбец4]]</f>
        <v>Верх_4</v>
      </c>
      <c r="I17" s="340" t="str">
        <f>Таблица5[[#This Row],[Столбец4]]</f>
        <v>Верх_4</v>
      </c>
      <c r="J17" s="338"/>
      <c r="K17" s="338"/>
      <c r="L17" s="61"/>
    </row>
    <row r="18" spans="1:19" s="39" customFormat="1">
      <c r="A18" s="39">
        <f t="shared" si="0"/>
        <v>12</v>
      </c>
      <c r="B18" s="339" t="s">
        <v>925</v>
      </c>
      <c r="C18" s="340"/>
      <c r="D18" s="340"/>
      <c r="E18" s="340" t="s">
        <v>900</v>
      </c>
      <c r="F18" s="340"/>
      <c r="G18" s="340"/>
      <c r="H18" s="340" t="str">
        <f>Таблица5[[#This Row],[Столбец4]]</f>
        <v>Верх_5</v>
      </c>
      <c r="I18" s="340" t="str">
        <f>Таблица5[[#This Row],[Столбец4]]</f>
        <v>Верх_5</v>
      </c>
      <c r="J18" s="338"/>
      <c r="K18" s="338"/>
      <c r="L18" s="61"/>
    </row>
    <row r="19" spans="1:19" s="39" customFormat="1">
      <c r="A19" s="39">
        <f t="shared" si="0"/>
        <v>13</v>
      </c>
      <c r="B19" s="339" t="s">
        <v>926</v>
      </c>
      <c r="C19" s="340"/>
      <c r="D19" s="340"/>
      <c r="E19" s="340" t="s">
        <v>900</v>
      </c>
      <c r="F19" s="340"/>
      <c r="G19" s="340"/>
      <c r="H19" s="340" t="str">
        <f>Таблица5[[#This Row],[Столбец4]]</f>
        <v>Верх_5</v>
      </c>
      <c r="I19" s="340" t="str">
        <f>Таблица5[[#This Row],[Столбец4]]</f>
        <v>Верх_5</v>
      </c>
      <c r="J19" s="338"/>
      <c r="K19" s="338"/>
      <c r="L19" s="61"/>
    </row>
    <row r="20" spans="1:19" s="39" customFormat="1">
      <c r="A20" s="39">
        <f t="shared" si="0"/>
        <v>14</v>
      </c>
      <c r="B20" s="339" t="s">
        <v>928</v>
      </c>
      <c r="C20" s="340"/>
      <c r="D20" s="340"/>
      <c r="E20" s="340" t="s">
        <v>868</v>
      </c>
      <c r="F20" s="340"/>
      <c r="G20" s="340"/>
      <c r="H20" s="340" t="str">
        <f>Таблица5[[#This Row],[Столбец4]]</f>
        <v>Верх_4</v>
      </c>
      <c r="I20" s="340" t="str">
        <f>Таблица5[[#This Row],[Столбец4]]</f>
        <v>Верх_4</v>
      </c>
      <c r="J20" s="338"/>
      <c r="K20" s="338"/>
      <c r="L20" s="61"/>
    </row>
    <row r="21" spans="1:19" s="39" customFormat="1">
      <c r="A21" s="39">
        <f t="shared" si="0"/>
        <v>15</v>
      </c>
      <c r="B21" s="339" t="s">
        <v>929</v>
      </c>
      <c r="C21" s="340"/>
      <c r="D21" s="340"/>
      <c r="E21" s="340" t="s">
        <v>868</v>
      </c>
      <c r="F21" s="340"/>
      <c r="G21" s="340"/>
      <c r="H21" s="340" t="str">
        <f>Таблица5[[#This Row],[Столбец4]]</f>
        <v>Верх_4</v>
      </c>
      <c r="I21" s="340" t="str">
        <f>Таблица5[[#This Row],[Столбец4]]</f>
        <v>Верх_4</v>
      </c>
      <c r="J21" s="338"/>
      <c r="K21" s="338"/>
      <c r="L21" s="61"/>
    </row>
    <row r="22" spans="1:19" s="39" customFormat="1">
      <c r="A22" s="39">
        <f t="shared" si="0"/>
        <v>16</v>
      </c>
      <c r="B22" s="339" t="s">
        <v>924</v>
      </c>
      <c r="C22" s="340"/>
      <c r="D22" s="340"/>
      <c r="E22" s="565" t="s">
        <v>900</v>
      </c>
      <c r="F22" s="340"/>
      <c r="G22" s="340"/>
      <c r="H22" s="340" t="str">
        <f>Таблица5[[#This Row],[Столбец4]]</f>
        <v>Верх_5</v>
      </c>
      <c r="I22" s="340" t="str">
        <f>Таблица5[[#This Row],[Столбец4]]</f>
        <v>Верх_5</v>
      </c>
      <c r="J22" s="338"/>
      <c r="K22" s="338">
        <f>28*2.55</f>
        <v>71.399999999999991</v>
      </c>
      <c r="L22" s="61"/>
    </row>
    <row r="23" spans="1:19" s="39" customFormat="1">
      <c r="A23" s="39">
        <f>A22+1</f>
        <v>17</v>
      </c>
      <c r="B23" s="339" t="s">
        <v>927</v>
      </c>
      <c r="C23" s="340"/>
      <c r="D23" s="340"/>
      <c r="E23" s="340" t="str">
        <f>E22</f>
        <v>Верх_5</v>
      </c>
      <c r="F23" s="340"/>
      <c r="G23" s="340"/>
      <c r="H23" s="340" t="str">
        <f>Таблица5[[#This Row],[Столбец4]]</f>
        <v>Верх_5</v>
      </c>
      <c r="I23" s="340" t="str">
        <f>Таблица5[[#This Row],[Столбец4]]</f>
        <v>Верх_5</v>
      </c>
      <c r="J23" s="338"/>
      <c r="K23" s="338"/>
      <c r="L23" s="61"/>
    </row>
    <row r="24" spans="1:19" s="39" customFormat="1">
      <c r="C24" s="340"/>
      <c r="D24" s="340"/>
      <c r="E24" s="340"/>
      <c r="F24" s="340"/>
      <c r="G24" s="340"/>
      <c r="H24" s="340"/>
      <c r="I24" s="340"/>
      <c r="J24" s="338"/>
      <c r="K24" s="338"/>
      <c r="L24" s="61"/>
    </row>
    <row r="25" spans="1:19" s="39" customFormat="1">
      <c r="B25" s="339"/>
      <c r="C25" s="340"/>
      <c r="D25" s="340"/>
      <c r="E25" s="340"/>
      <c r="F25" s="340"/>
      <c r="G25" s="340"/>
      <c r="H25" s="340"/>
      <c r="I25" s="340"/>
      <c r="J25" s="338"/>
      <c r="K25" s="338"/>
      <c r="L25" s="61"/>
    </row>
    <row r="26" spans="1:19" s="39" customFormat="1">
      <c r="B26" s="336"/>
      <c r="C26" s="337" t="s">
        <v>1212</v>
      </c>
      <c r="D26" s="337"/>
      <c r="E26" s="337"/>
      <c r="F26" s="337"/>
      <c r="G26" s="337"/>
      <c r="H26" s="337"/>
      <c r="I26" s="337"/>
      <c r="J26" s="338"/>
      <c r="K26" s="338"/>
      <c r="L26" s="61"/>
    </row>
    <row r="27" spans="1:19" s="39" customFormat="1">
      <c r="A27" s="39" t="s">
        <v>895</v>
      </c>
      <c r="B27" s="336" t="str">
        <f>Бланк!O6</f>
        <v/>
      </c>
      <c r="C27" s="337"/>
      <c r="D27" s="336" t="str">
        <f>Бланк!O22</f>
        <v>Vela Т-47</v>
      </c>
      <c r="E27" s="337"/>
      <c r="F27" s="336" t="str">
        <f>Бланк!O38</f>
        <v>Vela Т-47</v>
      </c>
      <c r="G27" s="337"/>
      <c r="H27" s="337"/>
      <c r="I27" s="337"/>
      <c r="J27" s="338"/>
      <c r="K27" s="338"/>
      <c r="L27" s="61"/>
    </row>
    <row r="28" spans="1:19" s="39" customFormat="1" ht="15.75">
      <c r="A28" s="336" t="s">
        <v>897</v>
      </c>
      <c r="B28" s="39">
        <f>IF(B5="","",MATCH(B5,L31:S31,0))</f>
        <v>8</v>
      </c>
      <c r="C28" s="337" t="e">
        <f>VLOOKUP(B27,Таблица6[],B28,0)</f>
        <v>#N/A</v>
      </c>
      <c r="D28" s="39">
        <f>MATCH(D5,L31:S31,0)</f>
        <v>4</v>
      </c>
      <c r="E28" s="337"/>
      <c r="F28" s="39">
        <f>MATCH(F5,L31:S31,0)</f>
        <v>6</v>
      </c>
      <c r="G28" s="337"/>
      <c r="H28" s="337"/>
      <c r="I28" s="337"/>
      <c r="J28" s="338"/>
      <c r="K28" s="338"/>
      <c r="L28" s="61"/>
      <c r="M28" s="440" t="s">
        <v>907</v>
      </c>
    </row>
    <row r="29" spans="1:19" s="39" customFormat="1" ht="15.75" thickBot="1">
      <c r="A29" s="39" t="s">
        <v>896</v>
      </c>
      <c r="B29" s="39">
        <f>VLOOKUP($B$27,Таблица15[],$B$28,0)</f>
        <v>0</v>
      </c>
      <c r="C29" s="337"/>
      <c r="D29" s="39">
        <f>VLOOKUP($D$27,Таблица15[],$D$28,0)</f>
        <v>0</v>
      </c>
      <c r="E29" s="337"/>
      <c r="F29" s="39">
        <f>VLOOKUP($F$27,Таблица15[],$F$28,0)</f>
        <v>0</v>
      </c>
      <c r="G29" s="337"/>
      <c r="H29" s="337"/>
      <c r="I29" s="337"/>
      <c r="J29" s="338"/>
      <c r="K29" s="338"/>
      <c r="L29" s="61"/>
    </row>
    <row r="30" spans="1:19" ht="18.75">
      <c r="A30" s="351" t="s">
        <v>39</v>
      </c>
      <c r="B30" s="336" t="s">
        <v>719</v>
      </c>
      <c r="C30" s="346" t="s">
        <v>874</v>
      </c>
      <c r="D30" s="346" t="s">
        <v>873</v>
      </c>
      <c r="E30" s="403">
        <v>2</v>
      </c>
      <c r="F30" s="402">
        <v>3</v>
      </c>
      <c r="G30" s="346">
        <v>4</v>
      </c>
      <c r="H30" s="335">
        <v>5</v>
      </c>
      <c r="I30" s="335"/>
      <c r="L30" t="s">
        <v>82</v>
      </c>
      <c r="M30" t="s">
        <v>440</v>
      </c>
      <c r="N30" t="s">
        <v>720</v>
      </c>
      <c r="O30" s="39" t="s">
        <v>901</v>
      </c>
      <c r="P30" t="s">
        <v>721</v>
      </c>
      <c r="Q30" t="s">
        <v>722</v>
      </c>
      <c r="R30" t="s">
        <v>723</v>
      </c>
      <c r="S30" t="s">
        <v>724</v>
      </c>
    </row>
    <row r="31" spans="1:19" ht="15.75" thickBot="1">
      <c r="B31" s="39" t="s">
        <v>82</v>
      </c>
      <c r="C31" s="42" t="s">
        <v>739</v>
      </c>
      <c r="D31" s="42" t="s">
        <v>729</v>
      </c>
      <c r="E31" s="31" t="s">
        <v>730</v>
      </c>
      <c r="F31" s="32" t="s">
        <v>731</v>
      </c>
      <c r="G31" s="42" t="s">
        <v>868</v>
      </c>
      <c r="H31" s="42" t="s">
        <v>900</v>
      </c>
      <c r="K31" s="931" t="s">
        <v>902</v>
      </c>
      <c r="L31" s="438"/>
      <c r="M31" s="438" t="s">
        <v>739</v>
      </c>
      <c r="N31" s="438" t="s">
        <v>729</v>
      </c>
      <c r="O31" s="438" t="s">
        <v>730</v>
      </c>
      <c r="P31" s="438" t="s">
        <v>731</v>
      </c>
      <c r="Q31" s="439" t="s">
        <v>868</v>
      </c>
      <c r="R31" t="s">
        <v>900</v>
      </c>
      <c r="S31">
        <v>0</v>
      </c>
    </row>
    <row r="32" spans="1:19">
      <c r="B32" t="s">
        <v>21</v>
      </c>
      <c r="C32" s="42" t="s">
        <v>21</v>
      </c>
      <c r="D32" s="39" t="s">
        <v>21</v>
      </c>
      <c r="E32" s="39" t="s">
        <v>21</v>
      </c>
      <c r="F32" s="35" t="s">
        <v>21</v>
      </c>
      <c r="G32" s="42" t="s">
        <v>21</v>
      </c>
      <c r="H32" s="42" t="s">
        <v>21</v>
      </c>
      <c r="K32" s="931"/>
      <c r="L32" t="str">
        <f>""</f>
        <v/>
      </c>
      <c r="O32" s="42"/>
    </row>
    <row r="33" spans="1:18">
      <c r="B33" t="s">
        <v>828</v>
      </c>
      <c r="C33" s="42" t="str">
        <f>Таблица6[[#This Row],[Столбец1]]</f>
        <v>Vela Т-47</v>
      </c>
      <c r="D33" s="39" t="s">
        <v>828</v>
      </c>
      <c r="E33" s="39" t="s">
        <v>828</v>
      </c>
      <c r="F33" s="32" t="s">
        <v>821</v>
      </c>
      <c r="G33" s="39" t="s">
        <v>828</v>
      </c>
      <c r="H33" s="32" t="s">
        <v>821</v>
      </c>
      <c r="K33" s="931"/>
      <c r="L33" t="s">
        <v>21</v>
      </c>
      <c r="O33" s="42"/>
    </row>
    <row r="34" spans="1:18" ht="18.75">
      <c r="A34" s="347" t="s">
        <v>732</v>
      </c>
      <c r="B34" t="s">
        <v>821</v>
      </c>
      <c r="C34" s="42" t="s">
        <v>54</v>
      </c>
      <c r="D34" s="39" t="s">
        <v>821</v>
      </c>
      <c r="E34" s="39" t="s">
        <v>821</v>
      </c>
      <c r="F34" s="32" t="s">
        <v>53</v>
      </c>
      <c r="G34" s="42" t="s">
        <v>821</v>
      </c>
      <c r="H34" s="42" t="s">
        <v>52</v>
      </c>
      <c r="K34" s="931"/>
      <c r="L34" t="s">
        <v>828</v>
      </c>
      <c r="O34" s="42"/>
      <c r="P34" s="42" t="s">
        <v>1075</v>
      </c>
      <c r="R34" s="42" t="s">
        <v>1075</v>
      </c>
    </row>
    <row r="35" spans="1:18" ht="15.75" thickBot="1">
      <c r="B35" t="s">
        <v>52</v>
      </c>
      <c r="C35" s="42" t="s">
        <v>1451</v>
      </c>
      <c r="D35" t="s">
        <v>1192</v>
      </c>
      <c r="E35" s="39" t="s">
        <v>1192</v>
      </c>
      <c r="F35" s="30" t="s">
        <v>52</v>
      </c>
      <c r="G35" s="42" t="s">
        <v>52</v>
      </c>
      <c r="H35" s="32" t="s">
        <v>53</v>
      </c>
      <c r="I35" s="39"/>
      <c r="K35" s="931"/>
      <c r="L35" t="s">
        <v>821</v>
      </c>
      <c r="M35" s="42" t="s">
        <v>1075</v>
      </c>
      <c r="O35" s="42"/>
      <c r="P35" s="42"/>
      <c r="R35" s="42"/>
    </row>
    <row r="36" spans="1:18" ht="15.75" thickBot="1">
      <c r="B36" t="s">
        <v>53</v>
      </c>
      <c r="C36" s="42" t="s">
        <v>1075</v>
      </c>
      <c r="D36" s="39" t="s">
        <v>52</v>
      </c>
      <c r="E36" s="39" t="s">
        <v>52</v>
      </c>
      <c r="F36" s="39" t="s">
        <v>1644</v>
      </c>
      <c r="G36" s="42" t="s">
        <v>53</v>
      </c>
      <c r="H36" s="39" t="s">
        <v>1644</v>
      </c>
      <c r="I36" s="39"/>
      <c r="K36" s="931"/>
      <c r="L36" t="s">
        <v>52</v>
      </c>
      <c r="M36" s="42" t="s">
        <v>1075</v>
      </c>
      <c r="N36" s="39"/>
      <c r="O36" s="42"/>
      <c r="P36" s="30"/>
      <c r="Q36" s="42"/>
      <c r="R36" s="39"/>
    </row>
    <row r="37" spans="1:18">
      <c r="B37" t="s">
        <v>54</v>
      </c>
      <c r="C37" s="42" t="s">
        <v>1075</v>
      </c>
      <c r="D37" s="39" t="s">
        <v>53</v>
      </c>
      <c r="E37" s="39" t="s">
        <v>53</v>
      </c>
      <c r="F37" s="42" t="s">
        <v>1075</v>
      </c>
      <c r="G37" s="42" t="s">
        <v>1451</v>
      </c>
      <c r="H37" s="42" t="str">
        <f>B41</f>
        <v>Mottura DP25.170</v>
      </c>
      <c r="I37" s="39"/>
      <c r="K37" s="931"/>
      <c r="L37" t="s">
        <v>53</v>
      </c>
      <c r="M37" s="42" t="s">
        <v>1075</v>
      </c>
      <c r="N37" s="39"/>
      <c r="O37" s="42"/>
      <c r="P37" s="42"/>
      <c r="Q37" s="42"/>
      <c r="R37" s="42"/>
    </row>
    <row r="38" spans="1:18">
      <c r="B38" t="s">
        <v>8</v>
      </c>
      <c r="C38" s="42" t="s">
        <v>1075</v>
      </c>
      <c r="D38" s="39" t="s">
        <v>1644</v>
      </c>
      <c r="E38" s="39" t="s">
        <v>1644</v>
      </c>
      <c r="F38" s="42" t="s">
        <v>1075</v>
      </c>
      <c r="G38" s="39" t="s">
        <v>1644</v>
      </c>
      <c r="H38" s="42" t="str">
        <f>B42</f>
        <v>Mottura DP58 цил.</v>
      </c>
      <c r="I38" s="39"/>
      <c r="L38" t="s">
        <v>54</v>
      </c>
      <c r="M38" s="42"/>
      <c r="N38" s="39"/>
      <c r="O38" s="42"/>
      <c r="P38" s="42" t="s">
        <v>1075</v>
      </c>
      <c r="Q38" s="39"/>
      <c r="R38" s="42" t="s">
        <v>1075</v>
      </c>
    </row>
    <row r="39" spans="1:18" s="39" customFormat="1" ht="15.75" thickBot="1">
      <c r="B39" t="s">
        <v>7</v>
      </c>
      <c r="C39" s="42" t="s">
        <v>1075</v>
      </c>
      <c r="D39" s="39" t="s">
        <v>54</v>
      </c>
      <c r="E39" s="39" t="s">
        <v>54</v>
      </c>
      <c r="F39" s="42" t="s">
        <v>1075</v>
      </c>
      <c r="G39" s="39" t="str">
        <f>Цена!C190</f>
        <v>Mottura DP25.170</v>
      </c>
      <c r="I39"/>
      <c r="L39" t="s">
        <v>8</v>
      </c>
      <c r="M39" s="42" t="s">
        <v>1075</v>
      </c>
      <c r="N39" s="43"/>
      <c r="P39" s="42" t="s">
        <v>1075</v>
      </c>
      <c r="Q39" s="53"/>
      <c r="R39" s="42" t="s">
        <v>1075</v>
      </c>
    </row>
    <row r="40" spans="1:18" s="39" customFormat="1">
      <c r="B40" s="39" t="s">
        <v>1192</v>
      </c>
      <c r="C40" s="42"/>
      <c r="D40" s="42" t="s">
        <v>1451</v>
      </c>
      <c r="E40" s="39" t="s">
        <v>8</v>
      </c>
      <c r="F40" s="42"/>
      <c r="G40" s="39" t="str">
        <f>Цена!C191</f>
        <v>Mottura DP58 цил.</v>
      </c>
      <c r="L40" t="s">
        <v>7</v>
      </c>
      <c r="M40" s="42" t="s">
        <v>1075</v>
      </c>
      <c r="N40" s="42" t="s">
        <v>1075</v>
      </c>
      <c r="P40" s="42" t="s">
        <v>1075</v>
      </c>
      <c r="Q40" s="42" t="s">
        <v>1075</v>
      </c>
      <c r="R40" s="42" t="s">
        <v>1075</v>
      </c>
    </row>
    <row r="41" spans="1:18" s="39" customFormat="1">
      <c r="B41" s="39" t="str">
        <f>Цена!C190</f>
        <v>Mottura DP25.170</v>
      </c>
      <c r="C41" s="42"/>
      <c r="D41" s="40" t="str">
        <f>Цена!C190</f>
        <v>Mottura DP25.170</v>
      </c>
      <c r="E41" s="39" t="s">
        <v>7</v>
      </c>
      <c r="L41" s="39" t="s">
        <v>1192</v>
      </c>
      <c r="M41" s="42" t="s">
        <v>1075</v>
      </c>
      <c r="N41" s="40"/>
      <c r="O41" s="42"/>
      <c r="P41" s="42" t="s">
        <v>1075</v>
      </c>
      <c r="Q41" s="42" t="s">
        <v>1075</v>
      </c>
      <c r="R41" s="42" t="s">
        <v>1075</v>
      </c>
    </row>
    <row r="42" spans="1:18" s="39" customFormat="1">
      <c r="B42" s="39" t="str">
        <f>Цена!C191</f>
        <v>Mottura DP58 цил.</v>
      </c>
      <c r="C42" s="42"/>
      <c r="D42" s="40" t="str">
        <f>Цена!C191</f>
        <v>Mottura DP58 цил.</v>
      </c>
      <c r="E42" s="39" t="s">
        <v>1451</v>
      </c>
      <c r="L42" s="39" t="s">
        <v>1451</v>
      </c>
      <c r="M42" s="42"/>
      <c r="N42" s="40"/>
      <c r="O42" s="42"/>
      <c r="P42" s="42" t="s">
        <v>1075</v>
      </c>
      <c r="Q42" s="42"/>
      <c r="R42" s="42" t="s">
        <v>1075</v>
      </c>
    </row>
    <row r="43" spans="1:18" s="39" customFormat="1">
      <c r="C43" s="42"/>
      <c r="D43" s="39">
        <f>Цена!B190</f>
        <v>0</v>
      </c>
      <c r="E43" s="39" t="str">
        <f>Цена!C190</f>
        <v>Mottura DP25.170</v>
      </c>
      <c r="L43" s="39" t="s">
        <v>1644</v>
      </c>
      <c r="M43" s="42" t="s">
        <v>1075</v>
      </c>
      <c r="N43" s="40"/>
      <c r="O43" s="42"/>
      <c r="P43" s="40"/>
      <c r="Q43" s="40"/>
      <c r="R43" s="40"/>
    </row>
    <row r="44" spans="1:18" s="39" customFormat="1">
      <c r="C44" s="42"/>
      <c r="D44" s="39">
        <f>Цена!B191</f>
        <v>0</v>
      </c>
      <c r="E44" s="39" t="str">
        <f>Цена!C191</f>
        <v>Mottura DP58 цил.</v>
      </c>
      <c r="L44" s="39" t="s">
        <v>1658</v>
      </c>
      <c r="M44" s="42" t="s">
        <v>1075</v>
      </c>
      <c r="N44" s="40"/>
      <c r="O44" s="42"/>
      <c r="P44" s="40"/>
      <c r="Q44" s="40"/>
      <c r="R44" s="40"/>
    </row>
    <row r="45" spans="1:18" s="39" customFormat="1">
      <c r="C45" s="40"/>
      <c r="D45" s="40"/>
      <c r="L45" s="39" t="s">
        <v>1659</v>
      </c>
      <c r="M45" s="42" t="s">
        <v>1075</v>
      </c>
      <c r="N45" s="40"/>
      <c r="O45" s="42"/>
      <c r="P45" s="40"/>
      <c r="Q45" s="40"/>
      <c r="R45" s="40"/>
    </row>
    <row r="46" spans="1:18" s="39" customFormat="1">
      <c r="D46" s="40"/>
    </row>
    <row r="47" spans="1:18" ht="18.75">
      <c r="A47" s="351" t="s">
        <v>40</v>
      </c>
      <c r="B47" s="39" t="str">
        <f>B1</f>
        <v>1-ЖЖ</v>
      </c>
      <c r="C47" s="39"/>
      <c r="D47" s="39" t="str">
        <f>D1</f>
        <v>2-ЖЖ</v>
      </c>
      <c r="E47" s="39"/>
      <c r="F47" s="39" t="str">
        <f>F1</f>
        <v>3-ЖЖ</v>
      </c>
      <c r="L47" s="39"/>
      <c r="M47" s="39"/>
      <c r="N47" s="39"/>
      <c r="P47" s="39"/>
      <c r="Q47" s="39"/>
      <c r="R47" s="39"/>
    </row>
    <row r="48" spans="1:18" s="39" customFormat="1" ht="18.75">
      <c r="A48" s="351"/>
      <c r="B48" s="39" t="str">
        <f>IF(B3="",B2,B3)</f>
        <v>Стандарт</v>
      </c>
      <c r="D48" s="39" t="str">
        <f>IF(D3="",D2,D3)</f>
        <v>Стандарт</v>
      </c>
      <c r="F48" s="39" t="str">
        <f>IF(F3="",F2,F3)</f>
        <v>Стандарт</v>
      </c>
    </row>
    <row r="49" spans="1:18" s="39" customFormat="1">
      <c r="B49" s="39">
        <f>MATCH(B48,$B$53:$B$67,0)+1</f>
        <v>2</v>
      </c>
      <c r="D49" s="39">
        <f>MATCH(D48,$B$53:$B$66,0)+1</f>
        <v>2</v>
      </c>
      <c r="F49" s="39">
        <f>MATCH(F48,$B$53:$B$66,0)+1</f>
        <v>2</v>
      </c>
      <c r="L49"/>
      <c r="M49"/>
      <c r="N49"/>
      <c r="P49"/>
      <c r="Q49"/>
      <c r="R49"/>
    </row>
    <row r="50" spans="1:18" s="39" customFormat="1">
      <c r="B50" s="39" t="str">
        <f>IFERROR(HLOOKUP(Бланк!M2,Таблица8[],B49,0),0)</f>
        <v>Низ_0</v>
      </c>
      <c r="D50" s="39" t="str">
        <f>IFERROR(HLOOKUP(Бланк!M18,Таблица8[],D49,0),0)</f>
        <v>Низ_1</v>
      </c>
      <c r="F50" s="39" t="str">
        <f>IFERROR(HLOOKUP(Бланк!M34,Таблица8[],F49,0),0)</f>
        <v>Низ_4</v>
      </c>
    </row>
    <row r="51" spans="1:18" s="39" customFormat="1">
      <c r="B51" s="344" t="s">
        <v>82</v>
      </c>
      <c r="C51" s="333" t="s">
        <v>440</v>
      </c>
      <c r="D51" s="333" t="s">
        <v>720</v>
      </c>
      <c r="E51" s="333" t="s">
        <v>721</v>
      </c>
      <c r="F51" s="333" t="s">
        <v>722</v>
      </c>
      <c r="G51" s="333" t="s">
        <v>723</v>
      </c>
      <c r="H51" s="333" t="s">
        <v>724</v>
      </c>
      <c r="I51" s="342" t="s">
        <v>725</v>
      </c>
    </row>
    <row r="52" spans="1:18" s="39" customFormat="1">
      <c r="B52" s="344"/>
      <c r="C52" s="333" t="s">
        <v>412</v>
      </c>
      <c r="D52" s="333" t="s">
        <v>413</v>
      </c>
      <c r="E52" s="333" t="s">
        <v>414</v>
      </c>
      <c r="F52" s="333" t="s">
        <v>415</v>
      </c>
      <c r="G52" s="333" t="s">
        <v>416</v>
      </c>
      <c r="H52" s="333" t="s">
        <v>417</v>
      </c>
      <c r="I52" s="342" t="s">
        <v>418</v>
      </c>
    </row>
    <row r="53" spans="1:18" s="39" customFormat="1">
      <c r="B53" s="345" t="s">
        <v>546</v>
      </c>
      <c r="C53" s="343" t="s">
        <v>738</v>
      </c>
      <c r="D53" s="343" t="s">
        <v>738</v>
      </c>
      <c r="E53" s="533" t="s">
        <v>870</v>
      </c>
      <c r="F53" s="343" t="s">
        <v>869</v>
      </c>
      <c r="G53" s="343" t="s">
        <v>734</v>
      </c>
      <c r="H53" s="343" t="s">
        <v>734</v>
      </c>
      <c r="I53" s="343" t="str">
        <f>Таблица8[[#This Row],[Столбец4]]</f>
        <v>Низ_4</v>
      </c>
    </row>
    <row r="54" spans="1:18" s="39" customFormat="1" ht="18.75">
      <c r="A54" s="347" t="s">
        <v>736</v>
      </c>
      <c r="B54" s="344" t="s">
        <v>930</v>
      </c>
      <c r="C54" s="343"/>
      <c r="D54" s="343"/>
      <c r="E54" s="343"/>
      <c r="F54" s="343"/>
      <c r="G54" s="349" t="str">
        <f>$E$53</f>
        <v>Низ_4</v>
      </c>
      <c r="H54" s="343" t="str">
        <f>$I$53</f>
        <v>Низ_4</v>
      </c>
      <c r="I54" s="343" t="str">
        <f>$I$53</f>
        <v>Низ_4</v>
      </c>
    </row>
    <row r="55" spans="1:18" s="39" customFormat="1">
      <c r="B55" s="348" t="s">
        <v>931</v>
      </c>
      <c r="C55" s="343"/>
      <c r="D55" s="343"/>
      <c r="E55" s="349"/>
      <c r="F55" s="343"/>
      <c r="G55" s="349" t="str">
        <f>G56</f>
        <v>Низ_5</v>
      </c>
      <c r="H55" s="343" t="str">
        <f>Таблица8[[#This Row],[Столбец6]]</f>
        <v>Низ_5</v>
      </c>
      <c r="I55" s="343" t="str">
        <f>Таблица8[[#This Row],[Столбец7]]</f>
        <v>Низ_5</v>
      </c>
    </row>
    <row r="56" spans="1:18" s="39" customFormat="1">
      <c r="B56" s="339" t="s">
        <v>932</v>
      </c>
      <c r="C56" s="474"/>
      <c r="D56" s="474"/>
      <c r="E56" s="349" t="str">
        <f>E57</f>
        <v>Низ_5</v>
      </c>
      <c r="F56" s="474"/>
      <c r="G56" s="349" t="str">
        <f>Таблица8[[#This Row],[Столбец4]]</f>
        <v>Низ_5</v>
      </c>
      <c r="H56" s="343" t="str">
        <f>Таблица8[[#This Row],[Столбец6]]</f>
        <v>Низ_5</v>
      </c>
      <c r="I56" s="343" t="str">
        <f>Таблица8[[#This Row],[Столбец7]]</f>
        <v>Низ_5</v>
      </c>
    </row>
    <row r="57" spans="1:18" s="39" customFormat="1">
      <c r="B57" s="339" t="s">
        <v>925</v>
      </c>
      <c r="C57" s="474"/>
      <c r="D57" s="474"/>
      <c r="E57" s="533" t="s">
        <v>871</v>
      </c>
      <c r="F57" s="474"/>
      <c r="G57" s="349" t="str">
        <f>Таблица8[[#This Row],[Столбец4]]</f>
        <v>Низ_5</v>
      </c>
      <c r="H57" s="343" t="str">
        <f>Таблица8[[#This Row],[Столбец6]]</f>
        <v>Низ_5</v>
      </c>
      <c r="I57" s="343" t="str">
        <f>Таблица8[[#This Row],[Столбец7]]</f>
        <v>Низ_5</v>
      </c>
    </row>
    <row r="58" spans="1:18" s="39" customFormat="1">
      <c r="B58" s="339" t="s">
        <v>926</v>
      </c>
      <c r="C58" s="493"/>
      <c r="D58" s="493"/>
      <c r="E58" s="349" t="str">
        <f>E57</f>
        <v>Низ_5</v>
      </c>
      <c r="F58" s="493"/>
      <c r="G58" s="349" t="str">
        <f>Таблица8[[#This Row],[Столбец4]]</f>
        <v>Низ_5</v>
      </c>
      <c r="H58" s="343" t="str">
        <f>Таблица8[[#This Row],[Столбец6]]</f>
        <v>Низ_5</v>
      </c>
      <c r="I58" s="343" t="str">
        <f>Таблица8[[#This Row],[Столбец7]]</f>
        <v>Низ_5</v>
      </c>
    </row>
    <row r="59" spans="1:18" s="39" customFormat="1" ht="15" customHeight="1">
      <c r="B59" s="39" t="s">
        <v>924</v>
      </c>
      <c r="C59" s="474"/>
      <c r="D59" s="474"/>
      <c r="E59" s="349" t="str">
        <f>E57</f>
        <v>Низ_5</v>
      </c>
      <c r="F59" s="474"/>
      <c r="G59" s="349" t="str">
        <f>Таблица8[[#This Row],[Столбец4]]</f>
        <v>Низ_5</v>
      </c>
      <c r="H59" s="343" t="str">
        <f>Таблица8[[#This Row],[Столбец6]]</f>
        <v>Низ_5</v>
      </c>
      <c r="I59" s="343" t="str">
        <f>Таблица8[[#This Row],[Столбец7]]</f>
        <v>Низ_5</v>
      </c>
    </row>
    <row r="60" spans="1:18" s="39" customFormat="1">
      <c r="B60" s="39" t="s">
        <v>927</v>
      </c>
      <c r="C60" s="475"/>
      <c r="D60" s="475"/>
      <c r="E60" s="349" t="str">
        <f>E57</f>
        <v>Низ_5</v>
      </c>
      <c r="F60" s="475"/>
      <c r="G60" s="349" t="str">
        <f>Таблица8[[#This Row],[Столбец4]]</f>
        <v>Низ_5</v>
      </c>
      <c r="H60" s="343" t="str">
        <f>Таблица8[[#This Row],[Столбец6]]</f>
        <v>Низ_5</v>
      </c>
      <c r="I60" s="343" t="str">
        <f>Таблица8[[#This Row],[Столбец7]]</f>
        <v>Низ_5</v>
      </c>
    </row>
    <row r="61" spans="1:18" s="39" customFormat="1">
      <c r="B61" s="383" t="s">
        <v>933</v>
      </c>
      <c r="C61" s="343" t="s">
        <v>738</v>
      </c>
      <c r="D61" s="343" t="s">
        <v>738</v>
      </c>
      <c r="E61" s="343"/>
      <c r="F61" s="343" t="s">
        <v>738</v>
      </c>
      <c r="G61" s="343" t="str">
        <f>$G$53</f>
        <v>Низ_1</v>
      </c>
      <c r="H61" s="343" t="s">
        <v>734</v>
      </c>
      <c r="I61" s="343"/>
    </row>
    <row r="62" spans="1:18" s="39" customFormat="1">
      <c r="B62" s="383" t="s">
        <v>935</v>
      </c>
      <c r="C62" s="343" t="s">
        <v>738</v>
      </c>
      <c r="D62" s="343" t="s">
        <v>738</v>
      </c>
      <c r="E62" s="343"/>
      <c r="F62" s="343" t="s">
        <v>738</v>
      </c>
      <c r="G62" s="343" t="str">
        <f>$G$53</f>
        <v>Низ_1</v>
      </c>
      <c r="H62" s="343" t="s">
        <v>734</v>
      </c>
      <c r="I62" s="343"/>
    </row>
    <row r="63" spans="1:18" s="39" customFormat="1">
      <c r="B63" s="383" t="s">
        <v>891</v>
      </c>
      <c r="C63" s="349"/>
      <c r="D63" s="349"/>
      <c r="E63" s="349" t="str">
        <f>E56</f>
        <v>Низ_5</v>
      </c>
      <c r="F63" s="349"/>
      <c r="G63" s="349" t="str">
        <f t="shared" ref="G63:I63" si="1">G56</f>
        <v>Низ_5</v>
      </c>
      <c r="H63" s="349" t="str">
        <f t="shared" si="1"/>
        <v>Низ_5</v>
      </c>
      <c r="I63" s="349" t="str">
        <f t="shared" si="1"/>
        <v>Низ_5</v>
      </c>
    </row>
    <row r="64" spans="1:18" s="39" customFormat="1">
      <c r="B64" s="437" t="s">
        <v>333</v>
      </c>
      <c r="C64" s="349"/>
      <c r="D64" s="349"/>
      <c r="E64" s="349" t="str">
        <f>E57</f>
        <v>Низ_5</v>
      </c>
      <c r="F64" s="349" t="str">
        <f t="shared" ref="F64" si="2">$E$53</f>
        <v>Низ_4</v>
      </c>
      <c r="G64" s="349" t="str">
        <f>$E$53</f>
        <v>Низ_4</v>
      </c>
      <c r="H64" s="343" t="str">
        <f>E57</f>
        <v>Низ_5</v>
      </c>
      <c r="I64" s="343" t="str">
        <f>E57</f>
        <v>Низ_5</v>
      </c>
    </row>
    <row r="65" spans="1:18" s="39" customFormat="1">
      <c r="B65" s="437" t="s">
        <v>928</v>
      </c>
      <c r="C65" s="349"/>
      <c r="D65" s="349"/>
      <c r="E65" s="349" t="str">
        <f>E58</f>
        <v>Низ_5</v>
      </c>
      <c r="F65" s="349"/>
      <c r="G65" s="349"/>
      <c r="H65" s="343" t="str">
        <f t="shared" ref="H65:H66" si="3">E58</f>
        <v>Низ_5</v>
      </c>
      <c r="I65" s="343" t="str">
        <f t="shared" ref="I65:I66" si="4">E58</f>
        <v>Низ_5</v>
      </c>
    </row>
    <row r="66" spans="1:18" s="39" customFormat="1">
      <c r="B66" s="437" t="s">
        <v>929</v>
      </c>
      <c r="C66" s="493"/>
      <c r="D66" s="493"/>
      <c r="E66" s="493"/>
      <c r="F66" s="493"/>
      <c r="G66" s="493"/>
      <c r="H66" s="343" t="str">
        <f t="shared" si="3"/>
        <v>Низ_5</v>
      </c>
      <c r="I66" s="343" t="str">
        <f t="shared" si="4"/>
        <v>Низ_5</v>
      </c>
    </row>
    <row r="67" spans="1:18" s="39" customFormat="1">
      <c r="B67" s="437" t="s">
        <v>934</v>
      </c>
      <c r="C67" s="606"/>
      <c r="D67" s="606"/>
      <c r="E67" s="606"/>
      <c r="F67" s="606"/>
      <c r="G67" s="606"/>
      <c r="H67" s="343" t="str">
        <f>$I$53</f>
        <v>Низ_4</v>
      </c>
      <c r="I67" s="606"/>
    </row>
    <row r="68" spans="1:18" s="39" customFormat="1">
      <c r="B68" s="383"/>
      <c r="C68" s="436"/>
      <c r="D68" s="436"/>
      <c r="E68" s="436"/>
      <c r="F68" s="436"/>
      <c r="G68" s="436"/>
      <c r="H68" s="436"/>
      <c r="I68" s="436"/>
    </row>
    <row r="69" spans="1:18" s="39" customFormat="1">
      <c r="B69" s="383"/>
      <c r="C69" s="436"/>
      <c r="D69" s="436"/>
      <c r="E69" s="436"/>
      <c r="F69" s="436"/>
      <c r="G69" s="436"/>
      <c r="H69" s="436"/>
      <c r="I69" s="436"/>
    </row>
    <row r="70" spans="1:18" s="39" customFormat="1">
      <c r="B70" s="383"/>
      <c r="C70" s="436"/>
      <c r="D70" s="436"/>
      <c r="E70" s="436"/>
      <c r="F70" s="436"/>
      <c r="G70" s="436"/>
      <c r="H70" s="436"/>
      <c r="I70" s="436"/>
    </row>
    <row r="71" spans="1:18" s="39" customFormat="1">
      <c r="A71" s="39" t="s">
        <v>895</v>
      </c>
      <c r="B71" s="336" t="str">
        <f>Бланк!O7</f>
        <v>Vela Т-42</v>
      </c>
      <c r="C71" s="436"/>
      <c r="D71" s="336" t="str">
        <f>Бланк!O23</f>
        <v>Vela Т-42</v>
      </c>
      <c r="E71" s="436"/>
      <c r="F71" s="336" t="str">
        <f>Бланк!O39</f>
        <v>Vela Т-42</v>
      </c>
      <c r="G71" s="436"/>
      <c r="H71" s="436"/>
      <c r="I71" s="436"/>
    </row>
    <row r="72" spans="1:18" s="39" customFormat="1">
      <c r="A72" s="336" t="s">
        <v>897</v>
      </c>
      <c r="B72" s="39">
        <f>MATCH(B50,$L$76:$R$76,0)</f>
        <v>2</v>
      </c>
      <c r="C72" s="436"/>
      <c r="D72" s="39">
        <f>MATCH(D50,$L$76:$R$76,0)</f>
        <v>3</v>
      </c>
      <c r="E72" s="436"/>
      <c r="F72" s="39">
        <f>MATCH(F50,$L$76:$R$76,0)</f>
        <v>6</v>
      </c>
      <c r="G72" s="436"/>
      <c r="H72" s="436"/>
      <c r="I72" s="436"/>
    </row>
    <row r="73" spans="1:18" s="39" customFormat="1" ht="15.75">
      <c r="A73" s="39" t="s">
        <v>896</v>
      </c>
      <c r="B73" s="39">
        <f>VLOOKUP($B$71,Таблица16[],$B$72,0)</f>
        <v>0</v>
      </c>
      <c r="C73" s="436"/>
      <c r="D73" s="39">
        <f>VLOOKUP($D$71,Таблица16[],$D$72,0)</f>
        <v>0</v>
      </c>
      <c r="E73" s="436"/>
      <c r="F73" s="39">
        <f>VLOOKUP($F$71,Таблица16[],$F$72,0)</f>
        <v>0</v>
      </c>
      <c r="G73" s="436"/>
      <c r="H73" s="436"/>
      <c r="I73" s="436"/>
      <c r="M73" s="440" t="s">
        <v>905</v>
      </c>
    </row>
    <row r="74" spans="1:18">
      <c r="B74" s="39"/>
      <c r="C74" s="39"/>
      <c r="D74" s="39"/>
      <c r="E74" s="39"/>
      <c r="F74" s="39"/>
      <c r="G74" s="39"/>
      <c r="H74" s="39"/>
      <c r="I74" s="39"/>
    </row>
    <row r="75" spans="1:18">
      <c r="B75" s="39"/>
      <c r="C75" s="333" t="s">
        <v>738</v>
      </c>
      <c r="D75" s="39" t="s">
        <v>734</v>
      </c>
      <c r="E75" s="39" t="s">
        <v>735</v>
      </c>
      <c r="F75" s="39" t="s">
        <v>869</v>
      </c>
      <c r="G75" s="39" t="s">
        <v>870</v>
      </c>
      <c r="H75" s="39" t="s">
        <v>871</v>
      </c>
      <c r="I75" s="39" t="s">
        <v>872</v>
      </c>
      <c r="L75" s="39" t="s">
        <v>82</v>
      </c>
      <c r="M75" s="39" t="s">
        <v>440</v>
      </c>
      <c r="N75" s="39" t="s">
        <v>720</v>
      </c>
      <c r="O75" s="39" t="s">
        <v>721</v>
      </c>
      <c r="P75" s="39" t="s">
        <v>722</v>
      </c>
      <c r="Q75" s="39" t="s">
        <v>723</v>
      </c>
      <c r="R75" t="s">
        <v>724</v>
      </c>
    </row>
    <row r="76" spans="1:18">
      <c r="B76" t="s">
        <v>21</v>
      </c>
      <c r="C76" t="s">
        <v>21</v>
      </c>
      <c r="D76" s="39" t="s">
        <v>21</v>
      </c>
      <c r="E76" s="39" t="s">
        <v>21</v>
      </c>
      <c r="F76" s="39" t="s">
        <v>21</v>
      </c>
      <c r="G76" s="39" t="s">
        <v>21</v>
      </c>
      <c r="H76" t="s">
        <v>21</v>
      </c>
      <c r="M76" t="s">
        <v>738</v>
      </c>
      <c r="N76" t="s">
        <v>734</v>
      </c>
      <c r="O76" t="s">
        <v>735</v>
      </c>
      <c r="P76" s="39" t="s">
        <v>869</v>
      </c>
      <c r="Q76" t="s">
        <v>870</v>
      </c>
      <c r="R76" s="39" t="s">
        <v>871</v>
      </c>
    </row>
    <row r="77" spans="1:18" ht="18.75">
      <c r="A77" s="347" t="s">
        <v>737</v>
      </c>
      <c r="B77" t="s">
        <v>829</v>
      </c>
      <c r="C77" s="350" t="str">
        <f>B77</f>
        <v>Vela Т-42</v>
      </c>
      <c r="D77" s="39" t="s">
        <v>829</v>
      </c>
      <c r="E77" s="39" t="str">
        <f>B82</f>
        <v>Апекс Т-52</v>
      </c>
      <c r="F77" s="39" t="s">
        <v>829</v>
      </c>
      <c r="G77" s="39" t="s">
        <v>829</v>
      </c>
      <c r="H77" s="39" t="s">
        <v>820</v>
      </c>
      <c r="K77" s="931" t="s">
        <v>904</v>
      </c>
      <c r="L77" s="39" t="s">
        <v>829</v>
      </c>
      <c r="M77" s="350"/>
      <c r="N77" s="39"/>
      <c r="O77" s="350" t="s">
        <v>1075</v>
      </c>
      <c r="P77" s="39"/>
      <c r="Q77" s="350"/>
      <c r="R77" s="350" t="s">
        <v>1075</v>
      </c>
    </row>
    <row r="78" spans="1:18">
      <c r="B78" t="s">
        <v>51</v>
      </c>
      <c r="C78" s="39" t="s">
        <v>633</v>
      </c>
      <c r="D78" s="39" t="s">
        <v>820</v>
      </c>
      <c r="E78" s="39" t="str">
        <f>B83</f>
        <v>Kale 252 R</v>
      </c>
      <c r="F78" s="39" t="s">
        <v>820</v>
      </c>
      <c r="G78" s="39" t="s">
        <v>820</v>
      </c>
      <c r="H78" s="39" t="s">
        <v>55</v>
      </c>
      <c r="K78" s="931"/>
      <c r="L78" s="39" t="s">
        <v>51</v>
      </c>
      <c r="M78" s="39"/>
      <c r="N78" s="39"/>
      <c r="O78" s="350" t="s">
        <v>1075</v>
      </c>
      <c r="P78" s="39"/>
      <c r="Q78" s="350" t="s">
        <v>1075</v>
      </c>
      <c r="R78" s="350" t="s">
        <v>1075</v>
      </c>
    </row>
    <row r="79" spans="1:18">
      <c r="B79" t="s">
        <v>633</v>
      </c>
      <c r="C79" s="39" t="s">
        <v>601</v>
      </c>
      <c r="D79" s="39" t="s">
        <v>601</v>
      </c>
      <c r="E79" s="39" t="s">
        <v>1643</v>
      </c>
      <c r="F79" s="39" t="s">
        <v>633</v>
      </c>
      <c r="G79" s="39" t="s">
        <v>55</v>
      </c>
      <c r="H79" s="39" t="s">
        <v>1643</v>
      </c>
      <c r="K79" s="931"/>
      <c r="L79" s="39" t="s">
        <v>633</v>
      </c>
      <c r="M79" s="39"/>
      <c r="N79" s="39"/>
      <c r="O79" s="350" t="s">
        <v>1075</v>
      </c>
      <c r="P79" s="39"/>
      <c r="Q79" s="350" t="s">
        <v>1075</v>
      </c>
      <c r="R79" s="350" t="s">
        <v>1075</v>
      </c>
    </row>
    <row r="80" spans="1:18">
      <c r="B80" t="s">
        <v>601</v>
      </c>
      <c r="C80" s="39" t="s">
        <v>602</v>
      </c>
      <c r="D80" s="39" t="s">
        <v>602</v>
      </c>
      <c r="E80" s="153" t="s">
        <v>1664</v>
      </c>
      <c r="F80" s="39" t="s">
        <v>1643</v>
      </c>
      <c r="G80" s="39" t="s">
        <v>1643</v>
      </c>
      <c r="H80" s="39" t="s">
        <v>1185</v>
      </c>
      <c r="K80" s="931"/>
      <c r="L80" s="39" t="s">
        <v>601</v>
      </c>
      <c r="M80" s="39"/>
      <c r="N80" s="39"/>
      <c r="O80" s="350" t="s">
        <v>1075</v>
      </c>
      <c r="P80" s="39"/>
      <c r="Q80" s="350" t="s">
        <v>1075</v>
      </c>
      <c r="R80" s="350" t="s">
        <v>1075</v>
      </c>
    </row>
    <row r="81" spans="1:18">
      <c r="B81" t="s">
        <v>602</v>
      </c>
      <c r="C81" s="350" t="s">
        <v>1060</v>
      </c>
      <c r="D81" s="39" t="s">
        <v>55</v>
      </c>
      <c r="F81" s="39" t="s">
        <v>601</v>
      </c>
      <c r="G81" s="39" t="s">
        <v>1185</v>
      </c>
      <c r="H81" s="39" t="s">
        <v>1117</v>
      </c>
      <c r="K81" s="931"/>
      <c r="L81" s="39" t="s">
        <v>602</v>
      </c>
      <c r="M81" s="39"/>
      <c r="N81" s="39"/>
      <c r="O81" s="350" t="s">
        <v>1075</v>
      </c>
      <c r="P81" s="39"/>
      <c r="Q81" s="350" t="s">
        <v>1075</v>
      </c>
      <c r="R81" s="350" t="s">
        <v>1075</v>
      </c>
    </row>
    <row r="82" spans="1:18">
      <c r="B82" t="s">
        <v>820</v>
      </c>
      <c r="C82" s="40" t="s">
        <v>1185</v>
      </c>
      <c r="D82" s="39" t="s">
        <v>1643</v>
      </c>
      <c r="F82" s="39" t="s">
        <v>602</v>
      </c>
      <c r="G82" s="39" t="s">
        <v>1117</v>
      </c>
      <c r="H82" s="153" t="s">
        <v>1664</v>
      </c>
      <c r="K82" s="931"/>
      <c r="L82" s="39" t="s">
        <v>820</v>
      </c>
      <c r="M82" s="350" t="s">
        <v>1075</v>
      </c>
      <c r="N82" s="39"/>
      <c r="O82" s="350"/>
      <c r="P82" s="350"/>
      <c r="Q82" s="350"/>
      <c r="R82" s="350"/>
    </row>
    <row r="83" spans="1:18">
      <c r="B83" t="s">
        <v>55</v>
      </c>
      <c r="C83" s="153" t="s">
        <v>1664</v>
      </c>
      <c r="D83" s="39" t="s">
        <v>633</v>
      </c>
      <c r="F83" s="39" t="s">
        <v>55</v>
      </c>
      <c r="G83" s="153" t="s">
        <v>1664</v>
      </c>
      <c r="H83" s="39" t="s">
        <v>680</v>
      </c>
      <c r="K83" s="931"/>
      <c r="L83" s="39" t="s">
        <v>55</v>
      </c>
      <c r="M83" s="350" t="s">
        <v>1075</v>
      </c>
      <c r="N83" s="39"/>
      <c r="O83" s="350"/>
      <c r="P83" s="350"/>
      <c r="Q83" s="350"/>
      <c r="R83" s="350"/>
    </row>
    <row r="84" spans="1:18" ht="15" customHeight="1">
      <c r="B84" t="s">
        <v>622</v>
      </c>
      <c r="C84" s="39" t="s">
        <v>51</v>
      </c>
      <c r="D84" s="39" t="s">
        <v>1117</v>
      </c>
      <c r="F84" s="350" t="s">
        <v>1060</v>
      </c>
      <c r="G84" s="39" t="s">
        <v>680</v>
      </c>
      <c r="L84" s="39" t="s">
        <v>622</v>
      </c>
      <c r="M84" s="350" t="s">
        <v>1075</v>
      </c>
      <c r="N84" s="39"/>
      <c r="O84" s="350" t="s">
        <v>1075</v>
      </c>
      <c r="P84" s="350" t="s">
        <v>1075</v>
      </c>
      <c r="Q84" s="350" t="s">
        <v>1075</v>
      </c>
      <c r="R84" s="350" t="s">
        <v>1075</v>
      </c>
    </row>
    <row r="85" spans="1:18">
      <c r="B85" t="s">
        <v>680</v>
      </c>
      <c r="C85" s="350"/>
      <c r="D85" s="40" t="s">
        <v>1185</v>
      </c>
      <c r="F85" s="40" t="s">
        <v>1185</v>
      </c>
      <c r="L85" s="39" t="s">
        <v>680</v>
      </c>
      <c r="M85" s="350" t="s">
        <v>1075</v>
      </c>
      <c r="N85" s="39"/>
      <c r="O85" s="350" t="s">
        <v>1075</v>
      </c>
      <c r="P85" s="350" t="s">
        <v>1075</v>
      </c>
      <c r="Q85" s="350"/>
      <c r="R85" s="350"/>
    </row>
    <row r="86" spans="1:18">
      <c r="B86" t="s">
        <v>608</v>
      </c>
      <c r="C86" s="350"/>
      <c r="D86" s="153" t="s">
        <v>1664</v>
      </c>
      <c r="F86" s="153" t="s">
        <v>1664</v>
      </c>
      <c r="L86" s="39" t="s">
        <v>608</v>
      </c>
      <c r="M86" s="350" t="s">
        <v>1075</v>
      </c>
      <c r="N86" s="350" t="s">
        <v>1075</v>
      </c>
      <c r="O86" s="350" t="s">
        <v>1075</v>
      </c>
      <c r="P86" s="350"/>
      <c r="Q86" s="350" t="s">
        <v>1075</v>
      </c>
      <c r="R86" s="350" t="s">
        <v>1075</v>
      </c>
    </row>
    <row r="87" spans="1:18" s="39" customFormat="1">
      <c r="B87" s="153" t="s">
        <v>1185</v>
      </c>
      <c r="C87" s="495"/>
      <c r="D87" s="39" t="s">
        <v>51</v>
      </c>
      <c r="E87" s="40"/>
      <c r="F87" s="39" t="s">
        <v>51</v>
      </c>
      <c r="G87" s="40"/>
      <c r="H87" s="40"/>
      <c r="I87" s="40"/>
      <c r="L87" s="39" t="s">
        <v>21</v>
      </c>
      <c r="M87" s="441"/>
      <c r="N87" s="441"/>
      <c r="O87" s="441"/>
      <c r="P87" s="441"/>
      <c r="Q87" s="441"/>
      <c r="R87" s="350"/>
    </row>
    <row r="88" spans="1:18" s="39" customFormat="1">
      <c r="B88" s="39" t="s">
        <v>1117</v>
      </c>
      <c r="C88" s="40"/>
      <c r="D88" s="39" t="s">
        <v>622</v>
      </c>
      <c r="E88" s="40"/>
      <c r="F88" s="39" t="s">
        <v>608</v>
      </c>
      <c r="G88" s="40"/>
      <c r="H88" s="40"/>
      <c r="I88" s="40"/>
      <c r="L88" s="39" t="s">
        <v>1117</v>
      </c>
      <c r="M88" s="350" t="s">
        <v>1075</v>
      </c>
      <c r="N88" s="350"/>
      <c r="O88" s="350"/>
      <c r="P88" s="350" t="s">
        <v>1075</v>
      </c>
      <c r="Q88" s="350"/>
      <c r="R88" s="350"/>
    </row>
    <row r="89" spans="1:18">
      <c r="B89" s="153" t="s">
        <v>1664</v>
      </c>
      <c r="C89" s="350"/>
      <c r="D89" s="39" t="s">
        <v>680</v>
      </c>
      <c r="E89" s="40"/>
      <c r="F89" s="39"/>
      <c r="G89" s="40"/>
      <c r="H89" s="40"/>
      <c r="I89" s="40"/>
      <c r="L89" s="39" t="s">
        <v>1060</v>
      </c>
      <c r="M89" s="39"/>
      <c r="N89" s="350"/>
      <c r="O89" s="350" t="s">
        <v>1075</v>
      </c>
      <c r="P89" s="350"/>
      <c r="Q89" s="350" t="s">
        <v>1075</v>
      </c>
      <c r="R89" s="350" t="s">
        <v>1075</v>
      </c>
    </row>
    <row r="90" spans="1:18">
      <c r="D90" s="153"/>
      <c r="L90" s="39" t="s">
        <v>1185</v>
      </c>
      <c r="M90" s="39"/>
      <c r="N90" s="39"/>
      <c r="O90" s="350" t="s">
        <v>1075</v>
      </c>
      <c r="P90" s="39"/>
      <c r="Q90" s="39"/>
      <c r="R90" s="350"/>
    </row>
    <row r="91" spans="1:18">
      <c r="L91" s="39" t="s">
        <v>1643</v>
      </c>
      <c r="M91" s="350" t="s">
        <v>1075</v>
      </c>
      <c r="O91" s="350"/>
      <c r="R91" s="350"/>
    </row>
    <row r="92" spans="1:18">
      <c r="L92" s="153" t="s">
        <v>1664</v>
      </c>
    </row>
    <row r="94" spans="1:18" s="39" customFormat="1">
      <c r="C94"/>
      <c r="D94"/>
      <c r="E94"/>
      <c r="F94"/>
      <c r="G94"/>
      <c r="H94"/>
      <c r="I94"/>
    </row>
    <row r="95" spans="1:18">
      <c r="A95" s="39"/>
      <c r="C95" s="39"/>
      <c r="D95" s="39"/>
      <c r="E95" s="39"/>
      <c r="F95" s="39"/>
      <c r="G95" s="39"/>
      <c r="H95" s="39"/>
      <c r="I95" s="39"/>
    </row>
    <row r="96" spans="1:18" ht="15.75" thickBot="1">
      <c r="P96" s="828" t="s">
        <v>880</v>
      </c>
      <c r="Q96" s="40" t="s">
        <v>82</v>
      </c>
      <c r="R96" s="31" t="s">
        <v>440</v>
      </c>
    </row>
    <row r="97" spans="1:18">
      <c r="B97" s="39"/>
      <c r="P97" s="40" t="s">
        <v>546</v>
      </c>
      <c r="Q97" s="40" t="s">
        <v>544</v>
      </c>
      <c r="R97" s="31" t="s">
        <v>545</v>
      </c>
    </row>
    <row r="98" spans="1:18">
      <c r="D98" s="39"/>
      <c r="E98" s="39"/>
      <c r="P98" s="40" t="str">
        <f>Цена!C232</f>
        <v>Аверс</v>
      </c>
      <c r="Q98" s="40" t="s">
        <v>544</v>
      </c>
      <c r="R98" s="31" t="s">
        <v>545</v>
      </c>
    </row>
    <row r="99" spans="1:18">
      <c r="A99" s="186"/>
      <c r="P99" s="40" t="str">
        <f>Цена!C233</f>
        <v>Апекс</v>
      </c>
      <c r="Q99" s="40" t="s">
        <v>544</v>
      </c>
      <c r="R99" s="31" t="s">
        <v>545</v>
      </c>
    </row>
    <row r="100" spans="1:18" ht="15.75" thickBot="1">
      <c r="P100" s="29" t="str">
        <f>Цена!C234</f>
        <v>Чёрный</v>
      </c>
      <c r="Q100" s="40" t="s">
        <v>544</v>
      </c>
      <c r="R100" s="31"/>
    </row>
    <row r="101" spans="1:18" ht="15.75" thickBot="1">
      <c r="A101" s="35" t="s">
        <v>44</v>
      </c>
      <c r="B101" s="35" t="s">
        <v>523</v>
      </c>
      <c r="C101" s="34" t="s">
        <v>332</v>
      </c>
      <c r="D101" s="34" t="s">
        <v>333</v>
      </c>
      <c r="E101" s="34" t="str">
        <f>Цена!C242</f>
        <v>Авт.квад.хром</v>
      </c>
      <c r="F101" s="34" t="str">
        <f>Цена!C243</f>
        <v>Авт.квад.чёрн</v>
      </c>
      <c r="G101" s="34" t="str">
        <f>Цена!C245</f>
        <v>DP-12</v>
      </c>
      <c r="H101" s="153" t="str">
        <f>Цена!C246</f>
        <v>Никель</v>
      </c>
      <c r="I101" s="34" t="s">
        <v>530</v>
      </c>
      <c r="J101" s="33" t="s">
        <v>534</v>
      </c>
      <c r="K101" t="str">
        <f>Цена!C196</f>
        <v>Броня квад.</v>
      </c>
      <c r="L101" s="153" t="str">
        <f>Цена!C197</f>
        <v>Броня никель</v>
      </c>
      <c r="P101" s="29" t="str">
        <f>Цена!C235</f>
        <v>Kale</v>
      </c>
      <c r="Q101" s="29" t="s">
        <v>544</v>
      </c>
      <c r="R101" s="28"/>
    </row>
    <row r="102" spans="1:18" ht="15.75" thickBot="1">
      <c r="A102" s="30" t="s">
        <v>531</v>
      </c>
      <c r="B102" s="30" t="s">
        <v>523</v>
      </c>
      <c r="C102" s="29" t="s">
        <v>333</v>
      </c>
      <c r="D102" s="29" t="str">
        <f>Цена!C242</f>
        <v>Авт.квад.хром</v>
      </c>
      <c r="E102" s="29" t="str">
        <f>Цена!C243</f>
        <v>Авт.квад.чёрн</v>
      </c>
      <c r="F102" s="29" t="s">
        <v>530</v>
      </c>
      <c r="G102" s="29" t="s">
        <v>882</v>
      </c>
      <c r="H102" s="29" t="s">
        <v>534</v>
      </c>
      <c r="I102" t="str">
        <f>Цена!C196</f>
        <v>Броня квад.</v>
      </c>
      <c r="J102" s="153" t="str">
        <f>L101</f>
        <v>Броня никель</v>
      </c>
      <c r="P102" s="29" t="str">
        <f>Цена!C236</f>
        <v>Mottura</v>
      </c>
      <c r="Q102" s="29" t="s">
        <v>544</v>
      </c>
    </row>
    <row r="103" spans="1:18" s="39" customFormat="1" ht="15.75" thickBot="1">
      <c r="A103" s="40"/>
      <c r="B103" s="40"/>
      <c r="L103"/>
      <c r="M103"/>
      <c r="N103"/>
      <c r="P103" s="40" t="str">
        <f>Цена!C237</f>
        <v>Mottura шток</v>
      </c>
      <c r="Q103" s="153" t="s">
        <v>1660</v>
      </c>
      <c r="R103"/>
    </row>
    <row r="104" spans="1:18" s="39" customFormat="1" ht="15.75" thickBot="1">
      <c r="A104" s="818" t="s">
        <v>885</v>
      </c>
      <c r="B104" s="819" t="s">
        <v>886</v>
      </c>
      <c r="C104" s="819" t="s">
        <v>882</v>
      </c>
      <c r="D104" s="819" t="str">
        <f>Цена!C217</f>
        <v>квад.хром</v>
      </c>
      <c r="E104" s="819" t="str">
        <f>Цена!C218</f>
        <v>квад.чёрн</v>
      </c>
      <c r="F104" s="819" t="str">
        <f>Цена!C219</f>
        <v>кр.сат.золото</v>
      </c>
      <c r="G104" s="820" t="str">
        <f>Цена!C220</f>
        <v>Круг_никель</v>
      </c>
      <c r="H104" s="40"/>
      <c r="L104"/>
      <c r="M104"/>
      <c r="N104"/>
      <c r="P104" s="29" t="str">
        <f>Цена!C238</f>
        <v>Термо</v>
      </c>
      <c r="Q104" s="29" t="s">
        <v>1662</v>
      </c>
      <c r="R104"/>
    </row>
    <row r="105" spans="1:18" s="39" customFormat="1">
      <c r="A105" s="40"/>
      <c r="B105" s="40"/>
      <c r="H105" s="40"/>
      <c r="L105"/>
      <c r="M105"/>
      <c r="N105"/>
      <c r="P105"/>
      <c r="Q105"/>
      <c r="R105"/>
    </row>
    <row r="106" spans="1:18" s="39" customFormat="1">
      <c r="A106" s="40"/>
      <c r="B106" s="40"/>
      <c r="C106" s="40"/>
      <c r="D106" s="40"/>
      <c r="E106" s="40"/>
      <c r="F106" s="40"/>
      <c r="G106" s="40"/>
      <c r="H106" s="40"/>
      <c r="P106"/>
      <c r="Q106"/>
    </row>
    <row r="107" spans="1:18">
      <c r="C107" s="40"/>
      <c r="D107" s="40"/>
      <c r="E107" s="40"/>
      <c r="F107" s="40"/>
      <c r="G107" s="40"/>
      <c r="H107" s="40"/>
      <c r="I107" s="39"/>
      <c r="L107" s="39"/>
      <c r="M107" s="39"/>
      <c r="N107" s="39"/>
      <c r="P107" s="39"/>
      <c r="Q107" s="39"/>
      <c r="R107" s="39"/>
    </row>
    <row r="108" spans="1:18">
      <c r="A108" s="44" t="s">
        <v>493</v>
      </c>
      <c r="L108" s="39"/>
      <c r="M108" s="39"/>
      <c r="N108" s="39"/>
      <c r="P108" s="39"/>
      <c r="Q108" s="39"/>
      <c r="R108" s="39"/>
    </row>
    <row r="109" spans="1:18">
      <c r="A109" t="str">
        <f>Цена!C248</f>
        <v>Порошок</v>
      </c>
      <c r="B109" s="39" t="s">
        <v>293</v>
      </c>
      <c r="C109" s="153" t="s">
        <v>1</v>
      </c>
      <c r="L109" s="39"/>
      <c r="M109" s="39"/>
      <c r="N109" s="39"/>
      <c r="P109" s="39"/>
      <c r="Q109" s="39"/>
      <c r="R109" s="39"/>
    </row>
    <row r="110" spans="1:18">
      <c r="A110" s="39" t="str">
        <f>Цена!C249</f>
        <v>Р001</v>
      </c>
      <c r="B110" s="187" t="s">
        <v>494</v>
      </c>
      <c r="F110" t="s">
        <v>920</v>
      </c>
      <c r="G110" s="39" t="s">
        <v>938</v>
      </c>
      <c r="H110" s="39" t="s">
        <v>939</v>
      </c>
      <c r="P110" s="39"/>
      <c r="Q110" s="39"/>
    </row>
    <row r="111" spans="1:18">
      <c r="A111" s="39" t="str">
        <f>Цена!C250</f>
        <v>розетка</v>
      </c>
      <c r="B111" s="187" t="s">
        <v>494</v>
      </c>
      <c r="C111" s="39" t="s">
        <v>294</v>
      </c>
      <c r="D111" s="153" t="s">
        <v>495</v>
      </c>
      <c r="F111">
        <f>MATCH(Бланк!B8,A109:A128,0)</f>
        <v>1</v>
      </c>
      <c r="G111">
        <f>MATCH(Бланк!B24,A109:A128,0)</f>
        <v>2</v>
      </c>
      <c r="H111">
        <f>MATCH(Бланк!B40,A109:A128,0)</f>
        <v>3</v>
      </c>
    </row>
    <row r="112" spans="1:18" s="39" customFormat="1">
      <c r="A112" s="39" t="str">
        <f>Цена!C251</f>
        <v>роз_нержав.</v>
      </c>
      <c r="B112" s="153" t="s">
        <v>494</v>
      </c>
      <c r="C112" s="153"/>
      <c r="F112"/>
      <c r="G112"/>
      <c r="H112"/>
      <c r="I112"/>
      <c r="L112"/>
      <c r="M112"/>
      <c r="N112"/>
      <c r="P112"/>
      <c r="Q112"/>
      <c r="R112"/>
    </row>
    <row r="113" spans="1:18" s="39" customFormat="1">
      <c r="A113" s="528" t="s">
        <v>1601</v>
      </c>
      <c r="B113" s="153" t="s">
        <v>494</v>
      </c>
      <c r="C113" s="39" t="s">
        <v>294</v>
      </c>
      <c r="D113" s="153"/>
      <c r="P113"/>
      <c r="Q113"/>
      <c r="R113"/>
    </row>
    <row r="114" spans="1:18" s="39" customFormat="1">
      <c r="A114" s="39" t="str">
        <f>Цена!C253</f>
        <v>Мегаполис</v>
      </c>
      <c r="B114" s="153" t="s">
        <v>494</v>
      </c>
      <c r="L114"/>
      <c r="M114"/>
      <c r="N114"/>
    </row>
    <row r="115" spans="1:18" s="39" customFormat="1">
      <c r="A115" s="44" t="str">
        <f>Цена!C255</f>
        <v>Crit_развёр.</v>
      </c>
      <c r="B115" s="153" t="s">
        <v>494</v>
      </c>
      <c r="C115" s="39" t="s">
        <v>294</v>
      </c>
      <c r="D115" s="153" t="s">
        <v>495</v>
      </c>
      <c r="P115"/>
      <c r="Q115"/>
    </row>
    <row r="116" spans="1:18">
      <c r="A116" s="39" t="str">
        <f>Цена!C256</f>
        <v>Pava</v>
      </c>
      <c r="B116" s="153" t="s">
        <v>494</v>
      </c>
      <c r="C116" s="39" t="s">
        <v>294</v>
      </c>
      <c r="D116" s="153" t="s">
        <v>495</v>
      </c>
      <c r="E116" s="39"/>
      <c r="F116" s="39"/>
      <c r="G116" s="39"/>
      <c r="H116" s="39"/>
      <c r="I116" s="39"/>
      <c r="L116" s="39"/>
      <c r="M116" s="39"/>
      <c r="N116" s="39"/>
      <c r="P116" s="39"/>
      <c r="Q116" s="39"/>
      <c r="R116" s="39"/>
    </row>
    <row r="117" spans="1:18">
      <c r="A117" s="39" t="str">
        <f>Цена!C257</f>
        <v>AVERS_HP_72.1303</v>
      </c>
      <c r="B117" s="39" t="s">
        <v>1221</v>
      </c>
      <c r="C117" s="306"/>
      <c r="E117" s="39"/>
      <c r="P117" s="39"/>
      <c r="Q117" s="39"/>
    </row>
    <row r="118" spans="1:18">
      <c r="A118" s="44" t="str">
        <f>Цена!C258</f>
        <v>Морион BLACK круг</v>
      </c>
      <c r="B118" s="153" t="s">
        <v>513</v>
      </c>
      <c r="E118" s="39"/>
      <c r="L118" s="39"/>
      <c r="M118" s="39"/>
      <c r="N118" s="39"/>
      <c r="R118" s="39"/>
    </row>
    <row r="119" spans="1:18">
      <c r="A119" s="44" t="str">
        <f>Цена!C259</f>
        <v>Vela Bastion кв.</v>
      </c>
      <c r="B119" s="153" t="s">
        <v>513</v>
      </c>
      <c r="E119" s="39"/>
      <c r="P119" s="39"/>
      <c r="Q119" s="39"/>
    </row>
    <row r="120" spans="1:18">
      <c r="A120" s="39" t="str">
        <f>Цена!C260</f>
        <v>RedLine_квадрат</v>
      </c>
      <c r="B120" s="153" t="s">
        <v>513</v>
      </c>
      <c r="C120" s="153" t="s">
        <v>494</v>
      </c>
      <c r="D120" s="153" t="s">
        <v>1623</v>
      </c>
      <c r="E120" s="39" t="s">
        <v>1624</v>
      </c>
    </row>
    <row r="121" spans="1:18" s="39" customFormat="1">
      <c r="A121" s="39" t="str">
        <f>Цена!C261</f>
        <v>FLOW_квадрат</v>
      </c>
      <c r="B121" s="153" t="s">
        <v>513</v>
      </c>
      <c r="C121" s="153" t="s">
        <v>494</v>
      </c>
      <c r="D121" s="153" t="s">
        <v>1623</v>
      </c>
      <c r="F121"/>
      <c r="G121"/>
      <c r="H121"/>
      <c r="I121"/>
      <c r="P121"/>
      <c r="Q121"/>
      <c r="R121"/>
    </row>
    <row r="122" spans="1:18" s="39" customFormat="1">
      <c r="A122" s="44" t="str">
        <f>Цена!C263</f>
        <v>ТOR</v>
      </c>
      <c r="B122" s="153" t="s">
        <v>513</v>
      </c>
      <c r="C122" s="153" t="s">
        <v>494</v>
      </c>
      <c r="D122" s="153" t="s">
        <v>1623</v>
      </c>
    </row>
    <row r="123" spans="1:18" s="39" customFormat="1">
      <c r="A123" s="44" t="str">
        <f>Цена!C264</f>
        <v>роз_Arm_SQUID</v>
      </c>
      <c r="B123" s="153" t="s">
        <v>1654</v>
      </c>
    </row>
    <row r="124" spans="1:18">
      <c r="A124" s="39" t="str">
        <f>Цена!C265</f>
        <v>Скоба 300 мм</v>
      </c>
      <c r="B124" s="39" t="s">
        <v>496</v>
      </c>
      <c r="C124" s="153"/>
      <c r="D124" s="153"/>
      <c r="E124" s="39"/>
      <c r="F124" s="39"/>
      <c r="G124" s="39"/>
      <c r="H124" s="39"/>
      <c r="I124" s="39"/>
      <c r="P124" s="39"/>
      <c r="Q124" s="39"/>
      <c r="R124" s="39"/>
    </row>
    <row r="125" spans="1:18">
      <c r="A125" s="39" t="str">
        <f>Цена!C266</f>
        <v>Скоба 1200мм</v>
      </c>
      <c r="B125" s="39" t="s">
        <v>496</v>
      </c>
    </row>
    <row r="126" spans="1:18">
      <c r="A126" s="39" t="str">
        <f>Цена!C267</f>
        <v>Apecs</v>
      </c>
      <c r="B126" s="39" t="s">
        <v>496</v>
      </c>
    </row>
    <row r="127" spans="1:18">
      <c r="A127" s="39" t="str">
        <f>Цена!C268</f>
        <v>Заказчика</v>
      </c>
    </row>
    <row r="128" spans="1:18">
      <c r="A128" s="39" t="s">
        <v>524</v>
      </c>
    </row>
    <row r="129" spans="1:1">
      <c r="A129" t="s">
        <v>1652</v>
      </c>
    </row>
  </sheetData>
  <mergeCells count="3">
    <mergeCell ref="H5:I5"/>
    <mergeCell ref="K31:K37"/>
    <mergeCell ref="K77:K83"/>
  </mergeCells>
  <pageMargins left="0.7" right="0.7" top="0.75" bottom="0.75" header="0.3" footer="0.3"/>
  <pageSetup paperSize="9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205</vt:i4>
      </vt:variant>
    </vt:vector>
  </HeadingPairs>
  <TitlesOfParts>
    <vt:vector size="219" baseType="lpstr">
      <vt:lpstr>Бланк</vt:lpstr>
      <vt:lpstr>Вставка схем</vt:lpstr>
      <vt:lpstr>Исходные</vt:lpstr>
      <vt:lpstr>Пояснения</vt:lpstr>
      <vt:lpstr>Цена</vt:lpstr>
      <vt:lpstr>База</vt:lpstr>
      <vt:lpstr>дверь</vt:lpstr>
      <vt:lpstr>материалы</vt:lpstr>
      <vt:lpstr>Фурнитура</vt:lpstr>
      <vt:lpstr>Плёнка ПДТ</vt:lpstr>
      <vt:lpstr>Плёнка Артв</vt:lpstr>
      <vt:lpstr>Плёнка Ева</vt:lpstr>
      <vt:lpstr>Отделка, таб.</vt:lpstr>
      <vt:lpstr>фрезеровки</vt:lpstr>
      <vt:lpstr>__</vt:lpstr>
      <vt:lpstr>__16_влаго</vt:lpstr>
      <vt:lpstr>_1_2_мя_доборами</vt:lpstr>
      <vt:lpstr>_1_3_мя_доборами</vt:lpstr>
      <vt:lpstr>_1_Бока_выпуклы</vt:lpstr>
      <vt:lpstr>_1_верхним_добором</vt:lpstr>
      <vt:lpstr>_1_верхним_и_лев_добором</vt:lpstr>
      <vt:lpstr>_1_верхним_и_прав_добором</vt:lpstr>
      <vt:lpstr>_1_левым_добором</vt:lpstr>
      <vt:lpstr>_1_правым_добором</vt:lpstr>
      <vt:lpstr>_1_створчатая</vt:lpstr>
      <vt:lpstr>_1_Центр_выпукл</vt:lpstr>
      <vt:lpstr>_10_влаго</vt:lpstr>
      <vt:lpstr>_10мм</vt:lpstr>
      <vt:lpstr>_12_влаго</vt:lpstr>
      <vt:lpstr>_12мм</vt:lpstr>
      <vt:lpstr>_15мм.</vt:lpstr>
      <vt:lpstr>_16_влаго</vt:lpstr>
      <vt:lpstr>_16мм</vt:lpstr>
      <vt:lpstr>_2_2_мя_доборами</vt:lpstr>
      <vt:lpstr>_2_3_мя_доборами</vt:lpstr>
      <vt:lpstr>_2_верхним_добором</vt:lpstr>
      <vt:lpstr>_2_верхним_и_лев_добором</vt:lpstr>
      <vt:lpstr>_2_верхним_и_прав_добором</vt:lpstr>
      <vt:lpstr>_2_левым_добором</vt:lpstr>
      <vt:lpstr>_2_правым_добором</vt:lpstr>
      <vt:lpstr>_2_створчатая</vt:lpstr>
      <vt:lpstr>_2_х_конт.</vt:lpstr>
      <vt:lpstr>_3_Д</vt:lpstr>
      <vt:lpstr>_3_х_конт</vt:lpstr>
      <vt:lpstr>_8_влаго</vt:lpstr>
      <vt:lpstr>_8мм</vt:lpstr>
      <vt:lpstr>_МДФ</vt:lpstr>
      <vt:lpstr>_металл</vt:lpstr>
      <vt:lpstr>_плёнка</vt:lpstr>
      <vt:lpstr>Apecs</vt:lpstr>
      <vt:lpstr>AVERS_HP_72.1303</vt:lpstr>
      <vt:lpstr>Crit</vt:lpstr>
      <vt:lpstr>Crit_развёр.</vt:lpstr>
      <vt:lpstr>FLOW_квадрат</vt:lpstr>
      <vt:lpstr>Isover</vt:lpstr>
      <vt:lpstr>Kale</vt:lpstr>
      <vt:lpstr>Mottura</vt:lpstr>
      <vt:lpstr>Paroc</vt:lpstr>
      <vt:lpstr>Pava</vt:lpstr>
      <vt:lpstr>RedLine_квадрат</vt:lpstr>
      <vt:lpstr>RUR</vt:lpstr>
      <vt:lpstr>АВ</vt:lpstr>
      <vt:lpstr>Аверс</vt:lpstr>
      <vt:lpstr>Антик</vt:lpstr>
      <vt:lpstr>Антискрэтч_026</vt:lpstr>
      <vt:lpstr>Апекс</vt:lpstr>
      <vt:lpstr>Арт_мат</vt:lpstr>
      <vt:lpstr>База</vt:lpstr>
      <vt:lpstr>без_накладки</vt:lpstr>
      <vt:lpstr>Броня</vt:lpstr>
      <vt:lpstr>В_нержаве</vt:lpstr>
      <vt:lpstr>В_полотне</vt:lpstr>
      <vt:lpstr>Верх_0</vt:lpstr>
      <vt:lpstr>Верх_1</vt:lpstr>
      <vt:lpstr>Верх_2</vt:lpstr>
      <vt:lpstr>Верх_3</vt:lpstr>
      <vt:lpstr>Верх_4</vt:lpstr>
      <vt:lpstr>Верх_5</vt:lpstr>
      <vt:lpstr>верх_замок</vt:lpstr>
      <vt:lpstr>Винкожа_Индия</vt:lpstr>
      <vt:lpstr>Винкожа_РФ</vt:lpstr>
      <vt:lpstr>Вита</vt:lpstr>
      <vt:lpstr>Внутр_012</vt:lpstr>
      <vt:lpstr>Внутри</vt:lpstr>
      <vt:lpstr>Гладкая_нестандарт</vt:lpstr>
      <vt:lpstr>Гладкая_стандарт</vt:lpstr>
      <vt:lpstr>Глазок</vt:lpstr>
      <vt:lpstr>Глянец_032</vt:lpstr>
      <vt:lpstr>Глянцевая</vt:lpstr>
      <vt:lpstr>Двери</vt:lpstr>
      <vt:lpstr>ДСП</vt:lpstr>
      <vt:lpstr>Дюны</vt:lpstr>
      <vt:lpstr>ЕТ</vt:lpstr>
      <vt:lpstr>Задвижка</vt:lpstr>
      <vt:lpstr>зеркало_на_МДФ</vt:lpstr>
      <vt:lpstr>Зеркало_под_МДФ</vt:lpstr>
      <vt:lpstr>Индивид.</vt:lpstr>
      <vt:lpstr>Индивид.вн.</vt:lpstr>
      <vt:lpstr>Капитель_</vt:lpstr>
      <vt:lpstr>Комби.</vt:lpstr>
      <vt:lpstr>Лазер</vt:lpstr>
      <vt:lpstr>М</vt:lpstr>
      <vt:lpstr>М_0</vt:lpstr>
      <vt:lpstr>М_0вн.</vt:lpstr>
      <vt:lpstr>М_1</vt:lpstr>
      <vt:lpstr>М_1вн.</vt:lpstr>
      <vt:lpstr>М_2</vt:lpstr>
      <vt:lpstr>М_2вн.</vt:lpstr>
      <vt:lpstr>М_2ПКТвн.</vt:lpstr>
      <vt:lpstr>М_3</vt:lpstr>
      <vt:lpstr>М_3вн.</vt:lpstr>
      <vt:lpstr>М_3ПКТвн.</vt:lpstr>
      <vt:lpstr>МА_1</vt:lpstr>
      <vt:lpstr>МА_2</vt:lpstr>
      <vt:lpstr>МА_3</vt:lpstr>
      <vt:lpstr>МА_комб.</vt:lpstr>
      <vt:lpstr>Матовая</vt:lpstr>
      <vt:lpstr>Матовая_018</vt:lpstr>
      <vt:lpstr>Матовая_025</vt:lpstr>
      <vt:lpstr>Матовая_03</vt:lpstr>
      <vt:lpstr>МДФ</vt:lpstr>
      <vt:lpstr>МДФ_</vt:lpstr>
      <vt:lpstr>МДФ_без_молд</vt:lpstr>
      <vt:lpstr>МДФ_О</vt:lpstr>
      <vt:lpstr>Мегаполис</vt:lpstr>
      <vt:lpstr>мет_с_грунт</vt:lpstr>
      <vt:lpstr>МЕТАЛЛ</vt:lpstr>
      <vt:lpstr>металл_</vt:lpstr>
      <vt:lpstr>МПКТ</vt:lpstr>
      <vt:lpstr>МТР</vt:lpstr>
      <vt:lpstr>Муар</vt:lpstr>
      <vt:lpstr>Накладка</vt:lpstr>
      <vt:lpstr>Наличник</vt:lpstr>
      <vt:lpstr>Наличник_МДФ</vt:lpstr>
      <vt:lpstr>Наличник_Фанера</vt:lpstr>
      <vt:lpstr>Наруж_025</vt:lpstr>
      <vt:lpstr>низ_0</vt:lpstr>
      <vt:lpstr>Низ_1</vt:lpstr>
      <vt:lpstr>Низ_2</vt:lpstr>
      <vt:lpstr>Низ_3</vt:lpstr>
      <vt:lpstr>Низ_4</vt:lpstr>
      <vt:lpstr>Низ_5</vt:lpstr>
      <vt:lpstr>Номер_открывания_1</vt:lpstr>
      <vt:lpstr>Номер_открывания_2</vt:lpstr>
      <vt:lpstr>Номер_открывания_3</vt:lpstr>
      <vt:lpstr>О_0</vt:lpstr>
      <vt:lpstr>О_0вн.</vt:lpstr>
      <vt:lpstr>О_1</vt:lpstr>
      <vt:lpstr>О_1вн.</vt:lpstr>
      <vt:lpstr>О_2</vt:lpstr>
      <vt:lpstr>О_2вн.</vt:lpstr>
      <vt:lpstr>Бланк!Область_печати</vt:lpstr>
      <vt:lpstr>'Вставка схем'!Область_печати</vt:lpstr>
      <vt:lpstr>Исходные!Область_печати</vt:lpstr>
      <vt:lpstr>Цена!Область_печати</vt:lpstr>
      <vt:lpstr>окно_выбор</vt:lpstr>
      <vt:lpstr>Окно_шт</vt:lpstr>
      <vt:lpstr>окраска</vt:lpstr>
      <vt:lpstr>Ошибки</vt:lpstr>
      <vt:lpstr>Патина</vt:lpstr>
      <vt:lpstr>ПВХ_015</vt:lpstr>
      <vt:lpstr>ПВХ_018</vt:lpstr>
      <vt:lpstr>ПВХ_DE</vt:lpstr>
      <vt:lpstr>ПВХ_G</vt:lpstr>
      <vt:lpstr>ПВХ_M</vt:lpstr>
      <vt:lpstr>ПВХ_MD</vt:lpstr>
      <vt:lpstr>ПВХ_MDP</vt:lpstr>
      <vt:lpstr>ПВХ_MI</vt:lpstr>
      <vt:lpstr>ПВХ_SAT</vt:lpstr>
      <vt:lpstr>ПВХ_SM</vt:lpstr>
      <vt:lpstr>ПВХ_STM</vt:lpstr>
      <vt:lpstr>ПВХ_Заказная</vt:lpstr>
      <vt:lpstr>ПВХ_ММ</vt:lpstr>
      <vt:lpstr>ПВХ_Стандарт</vt:lpstr>
      <vt:lpstr>ПДТ</vt:lpstr>
      <vt:lpstr>ПКТ</vt:lpstr>
      <vt:lpstr>плёнка</vt:lpstr>
      <vt:lpstr>Плёнки</vt:lpstr>
      <vt:lpstr>Покраска</vt:lpstr>
      <vt:lpstr>порошок</vt:lpstr>
      <vt:lpstr>Пост_плёнок</vt:lpstr>
      <vt:lpstr>Пр.штапик</vt:lpstr>
      <vt:lpstr>прем.</vt:lpstr>
      <vt:lpstr>прост.</vt:lpstr>
      <vt:lpstr>простая</vt:lpstr>
      <vt:lpstr>Р001</vt:lpstr>
      <vt:lpstr>роз_квадрат</vt:lpstr>
      <vt:lpstr>розетка</vt:lpstr>
      <vt:lpstr>ручки</vt:lpstr>
      <vt:lpstr>Скоба_0901</vt:lpstr>
      <vt:lpstr>Снаружи</vt:lpstr>
      <vt:lpstr>Софт_016</vt:lpstr>
      <vt:lpstr>Софт_025_026</vt:lpstr>
      <vt:lpstr>софт_032</vt:lpstr>
      <vt:lpstr>Стандарт</vt:lpstr>
      <vt:lpstr>Структурная</vt:lpstr>
      <vt:lpstr>Структурная_нестандарт</vt:lpstr>
      <vt:lpstr>ТOR</vt:lpstr>
      <vt:lpstr>Таблица10</vt:lpstr>
      <vt:lpstr>Уличные</vt:lpstr>
      <vt:lpstr>Фанера</vt:lpstr>
      <vt:lpstr>фрез</vt:lpstr>
      <vt:lpstr>фрез.</vt:lpstr>
      <vt:lpstr>фрез..</vt:lpstr>
      <vt:lpstr>Фрез_</vt:lpstr>
      <vt:lpstr>х_конт</vt:lpstr>
      <vt:lpstr>ХФ_1</vt:lpstr>
      <vt:lpstr>ХФ_2</vt:lpstr>
      <vt:lpstr>ХФ_3</vt:lpstr>
      <vt:lpstr>Цвет</vt:lpstr>
      <vt:lpstr>Цил.</vt:lpstr>
      <vt:lpstr>цилиндр_Апекс</vt:lpstr>
      <vt:lpstr>Шагрень</vt:lpstr>
      <vt:lpstr>Шагрень_АВ</vt:lpstr>
      <vt:lpstr>Шёлк</vt:lpstr>
      <vt:lpstr>Шторка</vt:lpstr>
      <vt:lpstr>Шторка_О_2_М_3</vt:lpstr>
      <vt:lpstr>Эмали_лак</vt:lpstr>
      <vt:lpstr>Эмаль_018</vt:lpstr>
    </vt:vector>
  </TitlesOfParts>
  <Company>Aleksandr.stanmet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Aleksandr.stanmet</dc:creator>
  <cp:lastModifiedBy>Петрович</cp:lastModifiedBy>
  <cp:lastPrinted>2025-05-16T08:05:11Z</cp:lastPrinted>
  <dcterms:created xsi:type="dcterms:W3CDTF">2018-04-28T09:33:16Z</dcterms:created>
  <dcterms:modified xsi:type="dcterms:W3CDTF">2025-05-27T06:16:03Z</dcterms:modified>
</cp:coreProperties>
</file>